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budgetplanung\UNTERNEHMEN\"/>
    </mc:Choice>
  </mc:AlternateContent>
  <xr:revisionPtr revIDLastSave="0" documentId="13_ncr:1_{1F1A8C84-0A49-48E4-B38B-462CCE085A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shboard" sheetId="1" r:id="rId1"/>
    <sheet name="Budgetplanung" sheetId="2" r:id="rId2"/>
    <sheet name="Ist-Werte" sheetId="3" r:id="rId3"/>
    <sheet name="Abweichungsanalyse" sheetId="4" r:id="rId4"/>
    <sheet name="Einstellung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1" i="4" l="1"/>
  <c r="S21" i="4"/>
  <c r="R21" i="4"/>
  <c r="Q21" i="4"/>
  <c r="P21" i="4"/>
  <c r="O21" i="4"/>
  <c r="N21" i="4"/>
  <c r="M21" i="4"/>
  <c r="L21" i="4"/>
  <c r="K21" i="4"/>
  <c r="J21" i="4"/>
  <c r="I21" i="4"/>
  <c r="D21" i="4"/>
  <c r="C21" i="4"/>
  <c r="B21" i="4"/>
  <c r="A21" i="4"/>
  <c r="T20" i="4"/>
  <c r="S20" i="4"/>
  <c r="R20" i="4"/>
  <c r="Q20" i="4"/>
  <c r="P20" i="4"/>
  <c r="O20" i="4"/>
  <c r="N20" i="4"/>
  <c r="M20" i="4"/>
  <c r="L20" i="4"/>
  <c r="K20" i="4"/>
  <c r="J20" i="4"/>
  <c r="I20" i="4"/>
  <c r="D20" i="4"/>
  <c r="C20" i="4"/>
  <c r="B20" i="4"/>
  <c r="A20" i="4"/>
  <c r="T19" i="4"/>
  <c r="S19" i="4"/>
  <c r="R19" i="4"/>
  <c r="Q19" i="4"/>
  <c r="P19" i="4"/>
  <c r="O19" i="4"/>
  <c r="N19" i="4"/>
  <c r="M19" i="4"/>
  <c r="L19" i="4"/>
  <c r="K19" i="4"/>
  <c r="J19" i="4"/>
  <c r="I19" i="4"/>
  <c r="D19" i="4"/>
  <c r="C19" i="4"/>
  <c r="B19" i="4"/>
  <c r="A19" i="4"/>
  <c r="T18" i="4"/>
  <c r="S18" i="4"/>
  <c r="R18" i="4"/>
  <c r="Q18" i="4"/>
  <c r="P18" i="4"/>
  <c r="O18" i="4"/>
  <c r="N18" i="4"/>
  <c r="M18" i="4"/>
  <c r="L18" i="4"/>
  <c r="K18" i="4"/>
  <c r="J18" i="4"/>
  <c r="I18" i="4"/>
  <c r="D18" i="4"/>
  <c r="C18" i="4"/>
  <c r="B18" i="4"/>
  <c r="A18" i="4"/>
  <c r="T17" i="4"/>
  <c r="S17" i="4"/>
  <c r="R17" i="4"/>
  <c r="Q17" i="4"/>
  <c r="P17" i="4"/>
  <c r="O17" i="4"/>
  <c r="N17" i="4"/>
  <c r="M17" i="4"/>
  <c r="L17" i="4"/>
  <c r="K17" i="4"/>
  <c r="J17" i="4"/>
  <c r="I17" i="4"/>
  <c r="D17" i="4"/>
  <c r="C17" i="4"/>
  <c r="B17" i="4"/>
  <c r="A17" i="4"/>
  <c r="T16" i="4"/>
  <c r="S16" i="4"/>
  <c r="R16" i="4"/>
  <c r="Q16" i="4"/>
  <c r="P16" i="4"/>
  <c r="O16" i="4"/>
  <c r="N16" i="4"/>
  <c r="M16" i="4"/>
  <c r="L16" i="4"/>
  <c r="K16" i="4"/>
  <c r="J16" i="4"/>
  <c r="I16" i="4"/>
  <c r="D16" i="4"/>
  <c r="C16" i="4"/>
  <c r="B16" i="4"/>
  <c r="A16" i="4"/>
  <c r="T15" i="4"/>
  <c r="S15" i="4"/>
  <c r="R15" i="4"/>
  <c r="Q15" i="4"/>
  <c r="P15" i="4"/>
  <c r="O15" i="4"/>
  <c r="N15" i="4"/>
  <c r="M15" i="4"/>
  <c r="L15" i="4"/>
  <c r="K15" i="4"/>
  <c r="J15" i="4"/>
  <c r="I15" i="4"/>
  <c r="D15" i="4"/>
  <c r="C15" i="4"/>
  <c r="B15" i="4"/>
  <c r="A15" i="4"/>
  <c r="T14" i="4"/>
  <c r="S14" i="4"/>
  <c r="R14" i="4"/>
  <c r="Q14" i="4"/>
  <c r="P14" i="4"/>
  <c r="O14" i="4"/>
  <c r="N14" i="4"/>
  <c r="M14" i="4"/>
  <c r="L14" i="4"/>
  <c r="K14" i="4"/>
  <c r="J14" i="4"/>
  <c r="I14" i="4"/>
  <c r="D14" i="4"/>
  <c r="C14" i="4"/>
  <c r="B14" i="4"/>
  <c r="A14" i="4"/>
  <c r="T13" i="4"/>
  <c r="S13" i="4"/>
  <c r="R13" i="4"/>
  <c r="Q13" i="4"/>
  <c r="P13" i="4"/>
  <c r="O13" i="4"/>
  <c r="N13" i="4"/>
  <c r="M13" i="4"/>
  <c r="L13" i="4"/>
  <c r="K13" i="4"/>
  <c r="J13" i="4"/>
  <c r="I13" i="4"/>
  <c r="D13" i="4"/>
  <c r="C13" i="4"/>
  <c r="B13" i="4"/>
  <c r="A13" i="4"/>
  <c r="T12" i="4"/>
  <c r="S12" i="4"/>
  <c r="R12" i="4"/>
  <c r="Q12" i="4"/>
  <c r="P12" i="4"/>
  <c r="O12" i="4"/>
  <c r="N12" i="4"/>
  <c r="M12" i="4"/>
  <c r="L12" i="4"/>
  <c r="K12" i="4"/>
  <c r="J12" i="4"/>
  <c r="I12" i="4"/>
  <c r="D12" i="4"/>
  <c r="C12" i="4"/>
  <c r="B12" i="4"/>
  <c r="A12" i="4"/>
  <c r="T11" i="4"/>
  <c r="S11" i="4"/>
  <c r="R11" i="4"/>
  <c r="Q11" i="4"/>
  <c r="P11" i="4"/>
  <c r="O11" i="4"/>
  <c r="N11" i="4"/>
  <c r="M11" i="4"/>
  <c r="L11" i="4"/>
  <c r="K11" i="4"/>
  <c r="J11" i="4"/>
  <c r="I11" i="4"/>
  <c r="D11" i="4"/>
  <c r="C11" i="4"/>
  <c r="B11" i="4"/>
  <c r="A11" i="4"/>
  <c r="T10" i="4"/>
  <c r="S10" i="4"/>
  <c r="R10" i="4"/>
  <c r="Q10" i="4"/>
  <c r="P10" i="4"/>
  <c r="O10" i="4"/>
  <c r="N10" i="4"/>
  <c r="M10" i="4"/>
  <c r="L10" i="4"/>
  <c r="K10" i="4"/>
  <c r="J10" i="4"/>
  <c r="I10" i="4"/>
  <c r="D10" i="4"/>
  <c r="C10" i="4"/>
  <c r="B10" i="4"/>
  <c r="A10" i="4"/>
  <c r="T9" i="4"/>
  <c r="S9" i="4"/>
  <c r="R9" i="4"/>
  <c r="Q9" i="4"/>
  <c r="P9" i="4"/>
  <c r="O9" i="4"/>
  <c r="N9" i="4"/>
  <c r="M9" i="4"/>
  <c r="L9" i="4"/>
  <c r="K9" i="4"/>
  <c r="J9" i="4"/>
  <c r="I9" i="4"/>
  <c r="D9" i="4"/>
  <c r="C9" i="4"/>
  <c r="B9" i="4"/>
  <c r="A9" i="4"/>
  <c r="T8" i="4"/>
  <c r="S8" i="4"/>
  <c r="R8" i="4"/>
  <c r="Q8" i="4"/>
  <c r="P8" i="4"/>
  <c r="O8" i="4"/>
  <c r="N8" i="4"/>
  <c r="M8" i="4"/>
  <c r="L8" i="4"/>
  <c r="K8" i="4"/>
  <c r="J8" i="4"/>
  <c r="I8" i="4"/>
  <c r="D8" i="4"/>
  <c r="C8" i="4"/>
  <c r="B8" i="4"/>
  <c r="A8" i="4"/>
  <c r="T7" i="4"/>
  <c r="S7" i="4"/>
  <c r="R7" i="4"/>
  <c r="Q7" i="4"/>
  <c r="P7" i="4"/>
  <c r="O7" i="4"/>
  <c r="N7" i="4"/>
  <c r="M7" i="4"/>
  <c r="L7" i="4"/>
  <c r="K7" i="4"/>
  <c r="J7" i="4"/>
  <c r="I7" i="4"/>
  <c r="D7" i="4"/>
  <c r="C7" i="4"/>
  <c r="B7" i="4"/>
  <c r="A7" i="4"/>
  <c r="T6" i="4"/>
  <c r="S6" i="4"/>
  <c r="R6" i="4"/>
  <c r="Q6" i="4"/>
  <c r="P6" i="4"/>
  <c r="O6" i="4"/>
  <c r="N6" i="4"/>
  <c r="M6" i="4"/>
  <c r="L6" i="4"/>
  <c r="K6" i="4"/>
  <c r="J6" i="4"/>
  <c r="I6" i="4"/>
  <c r="D6" i="4"/>
  <c r="C6" i="4"/>
  <c r="B6" i="4"/>
  <c r="A6" i="4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D22" i="1"/>
  <c r="C22" i="1"/>
  <c r="A22" i="1"/>
  <c r="D21" i="1"/>
  <c r="C21" i="1"/>
  <c r="A21" i="1"/>
  <c r="D20" i="1"/>
  <c r="C20" i="1"/>
  <c r="A20" i="1"/>
  <c r="D19" i="1"/>
  <c r="C19" i="1"/>
  <c r="A19" i="1"/>
  <c r="D18" i="1"/>
  <c r="C18" i="1"/>
  <c r="A18" i="1"/>
  <c r="D17" i="1"/>
  <c r="C17" i="1"/>
  <c r="A17" i="1"/>
  <c r="G16" i="1"/>
  <c r="D16" i="1"/>
  <c r="C16" i="1"/>
  <c r="A16" i="1"/>
  <c r="G15" i="1"/>
  <c r="D15" i="1"/>
  <c r="C15" i="1"/>
  <c r="A15" i="1"/>
  <c r="I14" i="1"/>
  <c r="G14" i="1"/>
  <c r="H14" i="1" s="1"/>
  <c r="D14" i="1"/>
  <c r="C14" i="1"/>
  <c r="A14" i="1"/>
  <c r="H13" i="1"/>
  <c r="G13" i="1"/>
  <c r="I13" i="1" s="1"/>
  <c r="J13" i="1" s="1"/>
  <c r="K13" i="1" s="1"/>
  <c r="D13" i="1"/>
  <c r="C13" i="1"/>
  <c r="A13" i="1"/>
  <c r="G12" i="1"/>
  <c r="D12" i="1"/>
  <c r="C12" i="1"/>
  <c r="A12" i="1"/>
  <c r="G11" i="1"/>
  <c r="D11" i="1"/>
  <c r="C11" i="1"/>
  <c r="A11" i="1"/>
  <c r="B6" i="1"/>
  <c r="F5" i="1"/>
  <c r="F21" i="4" l="1"/>
  <c r="G21" i="4" s="1"/>
  <c r="H21" i="4" s="1"/>
  <c r="U21" i="4" s="1"/>
  <c r="R21" i="3"/>
  <c r="R20" i="3"/>
  <c r="F20" i="4"/>
  <c r="G20" i="4" s="1"/>
  <c r="H20" i="4" s="1"/>
  <c r="U20" i="4" s="1"/>
  <c r="F19" i="4"/>
  <c r="R19" i="3"/>
  <c r="R18" i="3"/>
  <c r="J5" i="1"/>
  <c r="F18" i="4"/>
  <c r="F17" i="4"/>
  <c r="R17" i="3"/>
  <c r="F16" i="4"/>
  <c r="R16" i="3"/>
  <c r="F15" i="4"/>
  <c r="G15" i="4" s="1"/>
  <c r="H15" i="4" s="1"/>
  <c r="U15" i="4" s="1"/>
  <c r="R15" i="3"/>
  <c r="R14" i="3"/>
  <c r="F14" i="4"/>
  <c r="G14" i="4" s="1"/>
  <c r="H14" i="4" s="1"/>
  <c r="U14" i="4" s="1"/>
  <c r="F13" i="4"/>
  <c r="G13" i="4" s="1"/>
  <c r="H13" i="4" s="1"/>
  <c r="U13" i="4" s="1"/>
  <c r="R13" i="3"/>
  <c r="F12" i="4"/>
  <c r="R12" i="3"/>
  <c r="F11" i="4"/>
  <c r="R11" i="3"/>
  <c r="F10" i="4"/>
  <c r="R10" i="3"/>
  <c r="F9" i="4"/>
  <c r="R9" i="3"/>
  <c r="F8" i="4"/>
  <c r="R8" i="3"/>
  <c r="R7" i="3"/>
  <c r="F7" i="4"/>
  <c r="R6" i="3"/>
  <c r="F6" i="4"/>
  <c r="E21" i="4"/>
  <c r="R21" i="2"/>
  <c r="R20" i="2"/>
  <c r="E20" i="4"/>
  <c r="E19" i="4"/>
  <c r="R19" i="2"/>
  <c r="E18" i="4"/>
  <c r="R18" i="2"/>
  <c r="R17" i="2"/>
  <c r="E17" i="4"/>
  <c r="E16" i="4"/>
  <c r="R16" i="2"/>
  <c r="E15" i="4"/>
  <c r="R15" i="2"/>
  <c r="R14" i="2"/>
  <c r="E14" i="4"/>
  <c r="E13" i="4"/>
  <c r="R13" i="2"/>
  <c r="E12" i="4"/>
  <c r="R12" i="2"/>
  <c r="E11" i="4"/>
  <c r="R11" i="2"/>
  <c r="R10" i="2"/>
  <c r="E10" i="4"/>
  <c r="R9" i="2"/>
  <c r="E9" i="4"/>
  <c r="R8" i="2"/>
  <c r="E8" i="4"/>
  <c r="E7" i="4"/>
  <c r="R7" i="2"/>
  <c r="R6" i="2"/>
  <c r="E6" i="4"/>
  <c r="I16" i="1"/>
  <c r="J16" i="1" s="1"/>
  <c r="K16" i="1" s="1"/>
  <c r="H16" i="1"/>
  <c r="I15" i="1"/>
  <c r="H15" i="1"/>
  <c r="I12" i="1"/>
  <c r="H12" i="1"/>
  <c r="H11" i="1"/>
  <c r="I11" i="1"/>
  <c r="B17" i="1"/>
  <c r="E17" i="1" s="1"/>
  <c r="B14" i="1"/>
  <c r="E14" i="1" s="1"/>
  <c r="B20" i="1"/>
  <c r="E20" i="1" s="1"/>
  <c r="D5" i="1"/>
  <c r="H5" i="1" s="1"/>
  <c r="B22" i="1"/>
  <c r="E22" i="1" s="1"/>
  <c r="B16" i="1"/>
  <c r="E16" i="1" s="1"/>
  <c r="B18" i="1"/>
  <c r="E18" i="1" s="1"/>
  <c r="B12" i="1"/>
  <c r="E12" i="1" s="1"/>
  <c r="B15" i="1"/>
  <c r="E15" i="1" s="1"/>
  <c r="B19" i="1"/>
  <c r="E19" i="1" s="1"/>
  <c r="B13" i="1"/>
  <c r="E13" i="1" s="1"/>
  <c r="B11" i="1"/>
  <c r="E11" i="1" s="1"/>
  <c r="B21" i="1"/>
  <c r="E21" i="1" s="1"/>
  <c r="J14" i="1"/>
  <c r="K14" i="1" s="1"/>
  <c r="G19" i="4" l="1"/>
  <c r="H19" i="4" s="1"/>
  <c r="U19" i="4" s="1"/>
  <c r="L5" i="1"/>
  <c r="G18" i="4"/>
  <c r="H18" i="4" s="1"/>
  <c r="U18" i="4" s="1"/>
  <c r="G17" i="4"/>
  <c r="H17" i="4" s="1"/>
  <c r="U17" i="4" s="1"/>
  <c r="G16" i="4"/>
  <c r="H16" i="4" s="1"/>
  <c r="U16" i="4" s="1"/>
  <c r="J11" i="1"/>
  <c r="K11" i="1" s="1"/>
  <c r="G12" i="4"/>
  <c r="H12" i="4" s="1"/>
  <c r="U12" i="4" s="1"/>
  <c r="G11" i="4"/>
  <c r="H11" i="4" s="1"/>
  <c r="U11" i="4" s="1"/>
  <c r="G10" i="4"/>
  <c r="H10" i="4" s="1"/>
  <c r="U10" i="4" s="1"/>
  <c r="G9" i="4"/>
  <c r="H9" i="4" s="1"/>
  <c r="U9" i="4" s="1"/>
  <c r="G8" i="4"/>
  <c r="H8" i="4" s="1"/>
  <c r="U8" i="4" s="1"/>
  <c r="G7" i="4"/>
  <c r="H7" i="4" s="1"/>
  <c r="U7" i="4" s="1"/>
  <c r="G6" i="4"/>
  <c r="H6" i="4" s="1"/>
  <c r="U6" i="4" s="1"/>
  <c r="J15" i="1"/>
  <c r="K15" i="1" s="1"/>
  <c r="J12" i="1"/>
  <c r="K12" i="1" s="1"/>
</calcChain>
</file>

<file path=xl/sharedStrings.xml><?xml version="1.0" encoding="utf-8"?>
<sst xmlns="http://schemas.openxmlformats.org/spreadsheetml/2006/main" count="247" uniqueCount="100">
  <si>
    <t>Budgetplanung Unternehmen – Dashboard</t>
  </si>
  <si>
    <t>Unternehmen</t>
  </si>
  <si>
    <t>Musterbetrieb Nordwerk GmbH</t>
  </si>
  <si>
    <t>Kennzahlen</t>
  </si>
  <si>
    <t>Planjahr</t>
  </si>
  <si>
    <t>Geplanter Umsatz</t>
  </si>
  <si>
    <t>Geplante Kosten</t>
  </si>
  <si>
    <t>Geplantes Ergebnis</t>
  </si>
  <si>
    <t>Ist/Forecast Ergebnis</t>
  </si>
  <si>
    <t>Abweichung Ergebnis</t>
  </si>
  <si>
    <t>Szenario</t>
  </si>
  <si>
    <t>Basis</t>
  </si>
  <si>
    <t>Umsatzfaktor</t>
  </si>
  <si>
    <t>Währung</t>
  </si>
  <si>
    <t>EUR</t>
  </si>
  <si>
    <t>Monat</t>
  </si>
  <si>
    <t>Budget Umsatz</t>
  </si>
  <si>
    <t>Budget Kosten</t>
  </si>
  <si>
    <t>Typ</t>
  </si>
  <si>
    <t>Budget</t>
  </si>
  <si>
    <t>Ist/Forecast</t>
  </si>
  <si>
    <t>Abweichung</t>
  </si>
  <si>
    <t>Abweichung %</t>
  </si>
  <si>
    <t>Budgetplanung Unternehmen – Jahresbudget</t>
  </si>
  <si>
    <t>ID</t>
  </si>
  <si>
    <t>Bereich</t>
  </si>
  <si>
    <t>Kategorie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</si>
  <si>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</si>
  <si>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</si>
  <si>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</si>
  <si>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</si>
  <si>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</si>
  <si>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</si>
  <si>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</si>
  <si>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</si>
  <si>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</si>
  <si>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</si>
  <si>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</si>
  <si>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</si>
  <si>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Jahresbudget</t>
  </si>
  <si>
    <t>Anteil am Gesamtbudget</t>
  </si>
  <si>
    <t>E-001</t>
  </si>
  <si>
    <t>Vertrieb</t>
  </si>
  <si>
    <t>Produktumsatz Inland</t>
  </si>
  <si>
    <t>Einnahme</t>
  </si>
  <si>
    <t>E-002</t>
  </si>
  <si>
    <t>Produktumsatz Export</t>
  </si>
  <si>
    <t>E-003</t>
  </si>
  <si>
    <t>Service</t>
  </si>
  <si>
    <t>Wartungsverträge</t>
  </si>
  <si>
    <t>E-004</t>
  </si>
  <si>
    <t>Geschäftsführung</t>
  </si>
  <si>
    <t>Sonstige betriebliche Erträge</t>
  </si>
  <si>
    <t>K-001</t>
  </si>
  <si>
    <t>Produktion</t>
  </si>
  <si>
    <t>Materialeinsatz</t>
  </si>
  <si>
    <t>Variable Kosten</t>
  </si>
  <si>
    <t>K-002</t>
  </si>
  <si>
    <t>Fremdleistungen Fertigung</t>
  </si>
  <si>
    <t>K-003</t>
  </si>
  <si>
    <t>Logistik</t>
  </si>
  <si>
    <t>Versand und Verpackung</t>
  </si>
  <si>
    <t>K-004</t>
  </si>
  <si>
    <t>Personal</t>
  </si>
  <si>
    <t>Löhne und Gehälter</t>
  </si>
  <si>
    <t>K-005</t>
  </si>
  <si>
    <t>Weiterbildung und Recruiting</t>
  </si>
  <si>
    <t>K-006</t>
  </si>
  <si>
    <t>Marketing</t>
  </si>
  <si>
    <t>Online-Marketing</t>
  </si>
  <si>
    <t>Fixkosten</t>
  </si>
  <si>
    <t>K-007</t>
  </si>
  <si>
    <t>Messen und Veranstaltungen</t>
  </si>
  <si>
    <t>K-008</t>
  </si>
  <si>
    <t>IT</t>
  </si>
  <si>
    <t>Software und Cloud</t>
  </si>
  <si>
    <t>K-009</t>
  </si>
  <si>
    <t>Verwaltung</t>
  </si>
  <si>
    <t>Miete und Nebenkosten</t>
  </si>
  <si>
    <t>K-010</t>
  </si>
  <si>
    <t>Versicherungen und Beiträge</t>
  </si>
  <si>
    <t>K-011</t>
  </si>
  <si>
    <t>Finanzen</t>
  </si>
  <si>
    <t>Zinsen und Bankgebühren</t>
  </si>
  <si>
    <t>Finanzierung</t>
  </si>
  <si>
    <t>K-012</t>
  </si>
  <si>
    <t>Hardware und Maschinenleasing</t>
  </si>
  <si>
    <t>Investition</t>
  </si>
  <si>
    <t>Ist-Werte und Forecast – monatliche Erfassung</t>
  </si>
  <si>
    <t>Hinweis</t>
  </si>
  <si>
    <t>Gelbe Zellen sind Eingaben; die Jahreswerte berechnen sich automatisch.</t>
  </si>
  <si>
    <t>Abweichungsanalyse – Budget vs. Ist</t>
  </si>
  <si>
    <t>Budget gesamt</t>
  </si>
  <si>
    <t>Ist gesamt</t>
  </si>
  <si>
    <t>Abweichung €</t>
  </si>
  <si>
    <t>Status</t>
  </si>
  <si>
    <t>Listen und Annahmen</t>
  </si>
  <si>
    <t>Optimistisch</t>
  </si>
  <si>
    <t>Defensiv</t>
  </si>
  <si>
    <t>Stress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</si>
</sst>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\€;[Red]\(#,##0\ \€\);\-"/>
    <numFmt numFmtId="165" formatCode="0.0%;[Red]\(0.0%\);\-"/>
  </numFmts>
  <fonts count="9" x14ac:knownFonts="1">
    <font>
      <sz val="11"/>
      <name val="Carlito"/>
    </font>
    <font>
      <b/>
      <sz val="14"/>
      <color rgb="FFFFFFFF"/>
      <name val="Carlito"/>
    </font>
    <font>
      <b/>
      <sz val="11"/>
      <color rgb="FF1F4E78"/>
      <name val="Carlito"/>
    </font>
    <font>
      <sz val="11"/>
      <color rgb="FF0000FF"/>
      <name val="Carlito"/>
    </font>
    <font>
      <b/>
      <sz val="11"/>
      <color rgb="FFFFFFFF"/>
      <name val="Carlito"/>
    </font>
    <font>
      <sz val="11"/>
      <color rgb="FF000000"/>
      <name val="Carlito"/>
    </font>
    <font>
      <b/>
      <sz val="11"/>
      <color rgb="FF375623"/>
      <name val="Carlito"/>
    </font>
    <font>
      <b/>
      <sz val="12"/>
      <name val="Carlito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1F4E78"/>
      </patternFill>
    </fill>
    <fill>
      <patternFill patternType="solid">
        <fgColor rgb="FFE2F0D9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8">
    <xf numFmtId="0" fontId="0" fillId="0" borderId="0" xfId="0"/>
    <xf numFmtId="0" fontId="2" fillId="3" borderId="0" xfId="1" applyFont="1" applyFill="1" applyAlignment="1">
      <alignment horizontal="center"/>
    </xf>
    <xf numFmtId="9" fontId="0" fillId="0" borderId="0" xfId="1" applyNumberFormat="1" applyFont="1"/>
    <xf numFmtId="0" fontId="3" fillId="4" borderId="0" xfId="1" applyFont="1" applyFill="1"/>
    <xf numFmtId="0" fontId="4" fillId="5" borderId="0" xfId="1" applyFont="1" applyFill="1" applyAlignment="1">
      <alignment horizontal="center" vertical="center"/>
    </xf>
    <xf numFmtId="164" fontId="0" fillId="0" borderId="0" xfId="1" applyNumberFormat="1" applyFont="1"/>
    <xf numFmtId="165" fontId="0" fillId="0" borderId="0" xfId="1" applyNumberFormat="1" applyFont="1"/>
    <xf numFmtId="164" fontId="3" fillId="4" borderId="0" xfId="1" applyNumberFormat="1" applyFont="1" applyFill="1"/>
    <xf numFmtId="164" fontId="5" fillId="0" borderId="0" xfId="1" applyNumberFormat="1" applyFont="1"/>
    <xf numFmtId="165" fontId="5" fillId="0" borderId="0" xfId="1" applyNumberFormat="1" applyFont="1"/>
    <xf numFmtId="9" fontId="3" fillId="4" borderId="0" xfId="1" applyNumberFormat="1" applyFont="1" applyFill="1"/>
    <xf numFmtId="0" fontId="0" fillId="0" borderId="0" xfId="1" applyFont="1" applyAlignment="1">
      <alignment wrapText="1"/>
    </xf>
    <xf numFmtId="0" fontId="1" fillId="2" borderId="0" xfId="1" applyFont="1" applyFill="1" applyAlignment="1">
      <alignment horizontal="left" vertical="center" wrapText="1"/>
    </xf>
    <xf numFmtId="0" fontId="2" fillId="3" borderId="0" xfId="1" applyFont="1" applyFill="1" applyAlignment="1">
      <alignment horizontal="center"/>
    </xf>
    <xf numFmtId="0" fontId="6" fillId="6" borderId="0" xfId="1" applyFont="1" applyFill="1" applyAlignment="1">
      <alignment horizontal="center"/>
    </xf>
    <xf numFmtId="164" fontId="7" fillId="7" borderId="0" xfId="1" applyNumberFormat="1" applyFont="1" applyFill="1" applyAlignment="1">
      <alignment horizontal="center"/>
    </xf>
    <xf numFmtId="0" fontId="7" fillId="7" borderId="0" xfId="1" applyFont="1" applyFill="1" applyAlignment="1">
      <alignment horizontal="center"/>
    </xf>
    <xf numFmtId="0" fontId="1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2">
    <dxf>
      <font>
        <color rgb="FF008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Monatliche Budgetsteuerung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Dashboard!$A$11:$A$22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Dashboard!$B$11:$B$22</c:f>
              <c:numCache>
                <c:formatCode>General</c:formatCode>
                <c:ptCount val="12"/>
                <c:pt idx="0">
                  <c:v>84500</c:v>
                </c:pt>
                <c:pt idx="1">
                  <c:v>86500</c:v>
                </c:pt>
                <c:pt idx="2">
                  <c:v>92300</c:v>
                </c:pt>
                <c:pt idx="3">
                  <c:v>97500</c:v>
                </c:pt>
                <c:pt idx="4">
                  <c:v>101200</c:v>
                </c:pt>
                <c:pt idx="5">
                  <c:v>105800</c:v>
                </c:pt>
                <c:pt idx="6">
                  <c:v>109500</c:v>
                </c:pt>
                <c:pt idx="7">
                  <c:v>112500</c:v>
                </c:pt>
                <c:pt idx="8">
                  <c:v>118200</c:v>
                </c:pt>
                <c:pt idx="9">
                  <c:v>121500</c:v>
                </c:pt>
                <c:pt idx="10">
                  <c:v>125500</c:v>
                </c:pt>
                <c:pt idx="11">
                  <c:v>133300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F8-4869-AEC3-0D515A217D76}"/>
            </c:ext>
          </c:extLst>
        </c:ser>
        <c:ser>
          <c:idx val="1"/>
          <c:order val="1"/>
          <c:invertIfNegative val="1"/>
          <c:cat>
            <c:strRef>
              <c:f>Dashboard!$A$11:$A$22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Dashboard!$C$11:$C$22</c:f>
              <c:numCache>
                <c:formatCode>General</c:formatCode>
                <c:ptCount val="12"/>
                <c:pt idx="0">
                  <c:v>108800</c:v>
                </c:pt>
                <c:pt idx="1">
                  <c:v>102900</c:v>
                </c:pt>
                <c:pt idx="2">
                  <c:v>102850</c:v>
                </c:pt>
                <c:pt idx="3">
                  <c:v>114250</c:v>
                </c:pt>
                <c:pt idx="4">
                  <c:v>108500</c:v>
                </c:pt>
                <c:pt idx="5">
                  <c:v>120300</c:v>
                </c:pt>
                <c:pt idx="6">
                  <c:v>116950</c:v>
                </c:pt>
                <c:pt idx="7">
                  <c:v>122450</c:v>
                </c:pt>
                <c:pt idx="8">
                  <c:v>118300</c:v>
                </c:pt>
                <c:pt idx="9">
                  <c:v>124200</c:v>
                </c:pt>
                <c:pt idx="10">
                  <c:v>128450</c:v>
                </c:pt>
                <c:pt idx="11">
                  <c:v>134750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F8-4869-AEC3-0D515A217D76}"/>
            </c:ext>
          </c:extLst>
        </c:ser>
        <c:ser>
          <c:idx val="2"/>
          <c:order val="2"/>
          <c:invertIfNegative val="1"/>
          <c:cat>
            <c:strRef>
              <c:f>Dashboard!$A$11:$A$22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Dashboard!$D$11:$D$22</c:f>
              <c:numCache>
                <c:formatCode>General</c:formatCode>
                <c:ptCount val="12"/>
                <c:pt idx="0">
                  <c:v>-31000</c:v>
                </c:pt>
                <c:pt idx="1">
                  <c:v>-12700</c:v>
                </c:pt>
                <c:pt idx="2">
                  <c:v>-16600</c:v>
                </c:pt>
                <c:pt idx="3">
                  <c:v>-15200</c:v>
                </c:pt>
                <c:pt idx="4">
                  <c:v>-17000</c:v>
                </c:pt>
                <c:pt idx="5">
                  <c:v>-9900</c:v>
                </c:pt>
                <c:pt idx="6">
                  <c:v>-8700</c:v>
                </c:pt>
                <c:pt idx="7">
                  <c:v>-13600</c:v>
                </c:pt>
                <c:pt idx="8">
                  <c:v>-100</c:v>
                </c:pt>
                <c:pt idx="9">
                  <c:v>-2700</c:v>
                </c:pt>
                <c:pt idx="10">
                  <c:v>-3000</c:v>
                </c:pt>
                <c:pt idx="11">
                  <c:v>-1500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F8-4869-AEC3-0D515A217D76}"/>
            </c:ext>
          </c:extLst>
        </c:ser>
        <c:ser>
          <c:idx val="3"/>
          <c:order val="3"/>
          <c:invertIfNegative val="1"/>
          <c:cat>
            <c:strRef>
              <c:f>Dashboard!$A$11:$A$22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Dashboard!$E$11:$E$22</c:f>
              <c:numCache>
                <c:formatCode>General</c:formatCode>
                <c:ptCount val="12"/>
                <c:pt idx="0">
                  <c:v>-6700</c:v>
                </c:pt>
                <c:pt idx="1">
                  <c:v>3700</c:v>
                </c:pt>
                <c:pt idx="2">
                  <c:v>-6050</c:v>
                </c:pt>
                <c:pt idx="3">
                  <c:v>1550</c:v>
                </c:pt>
                <c:pt idx="4">
                  <c:v>-9700</c:v>
                </c:pt>
                <c:pt idx="5">
                  <c:v>4600</c:v>
                </c:pt>
                <c:pt idx="6">
                  <c:v>-1250</c:v>
                </c:pt>
                <c:pt idx="7">
                  <c:v>-3650</c:v>
                </c:pt>
                <c:pt idx="8">
                  <c:v>0</c:v>
                </c:pt>
                <c:pt idx="9">
                  <c:v>0</c:v>
                </c:pt>
                <c:pt idx="10">
                  <c:v>-50</c:v>
                </c:pt>
                <c:pt idx="11">
                  <c:v>-50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F8-4869-AEC3-0D515A21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Budget nach Kosten- und Erlösart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1"/>
          <c:cat>
            <c:strRef>
              <c:f>Dashboard!$G$11:$G$16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Fixkosten</c:v>
                </c:pt>
                <c:pt idx="3">
                  <c:v>Personal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Dashboard!$H$11:$H$16</c:f>
              <c:numCache>
                <c:formatCode>General</c:formatCode>
                <c:ptCount val="6"/>
                <c:pt idx="0">
                  <c:v>1288300</c:v>
                </c:pt>
                <c:pt idx="1">
                  <c:v>498000</c:v>
                </c:pt>
                <c:pt idx="2">
                  <c:v>352000</c:v>
                </c:pt>
                <c:pt idx="3">
                  <c:v>502300</c:v>
                </c:pt>
                <c:pt idx="4">
                  <c:v>32700</c:v>
                </c:pt>
                <c:pt idx="5">
                  <c:v>17700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D2-4B83-922E-AD46C40D3BA5}"/>
            </c:ext>
          </c:extLst>
        </c:ser>
        <c:ser>
          <c:idx val="1"/>
          <c:order val="1"/>
          <c:tx>
            <c:v>Ist/Forecast</c:v>
          </c:tx>
          <c:invertIfNegative val="1"/>
          <c:cat>
            <c:strRef>
              <c:f>Dashboard!$G$11:$G$16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Fixkosten</c:v>
                </c:pt>
                <c:pt idx="3">
                  <c:v>Personal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Dashboard!$I$11:$I$16</c:f>
              <c:numCache>
                <c:formatCode>General</c:formatCode>
                <c:ptCount val="6"/>
                <c:pt idx="0">
                  <c:v>1288500</c:v>
                </c:pt>
                <c:pt idx="1">
                  <c:v>504200</c:v>
                </c:pt>
                <c:pt idx="2">
                  <c:v>356300</c:v>
                </c:pt>
                <c:pt idx="3">
                  <c:v>508900</c:v>
                </c:pt>
                <c:pt idx="4">
                  <c:v>33000</c:v>
                </c:pt>
                <c:pt idx="5">
                  <c:v>18100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D2-4B83-922E-AD46C40D3BA5}"/>
            </c:ext>
          </c:extLst>
        </c:ser>
        <c:ser>
          <c:idx val="2"/>
          <c:order val="2"/>
          <c:tx>
            <c:v>Abweichung</c:v>
          </c:tx>
          <c:invertIfNegative val="1"/>
          <c:cat>
            <c:strRef>
              <c:f>Dashboard!$G$11:$G$16</c:f>
              <c:strCache>
                <c:ptCount val="6"/>
                <c:pt idx="0">
                  <c:v>Einnahme</c:v>
                </c:pt>
                <c:pt idx="1">
                  <c:v>Variable Kosten</c:v>
                </c:pt>
                <c:pt idx="2">
                  <c:v>Fixkosten</c:v>
                </c:pt>
                <c:pt idx="3">
                  <c:v>Personal</c:v>
                </c:pt>
                <c:pt idx="4">
                  <c:v>Investition</c:v>
                </c:pt>
                <c:pt idx="5">
                  <c:v>Finanzierung</c:v>
                </c:pt>
              </c:strCache>
            </c:strRef>
          </c:cat>
          <c:val>
            <c:numRef>
              <c:f>Dashboard!$J$11:$J$16</c:f>
              <c:numCache>
                <c:formatCode>General</c:formatCode>
                <c:ptCount val="6"/>
                <c:pt idx="0">
                  <c:v>200</c:v>
                </c:pt>
                <c:pt idx="1">
                  <c:v>6200</c:v>
                </c:pt>
                <c:pt idx="2">
                  <c:v>4300</c:v>
                </c:pt>
                <c:pt idx="3">
                  <c:v>6600</c:v>
                </c:pt>
                <c:pt idx="4">
                  <c:v>300</c:v>
                </c:pt>
                <c:pt idx="5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D2-4B83-922E-AD46C40D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bg2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0</xdr:rowOff>
    </xdr:from>
    <xdr:to>
      <xdr:col>6</xdr:col>
      <xdr:colOff>0</xdr:colOff>
      <xdr:row>42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0</xdr:colOff>
      <xdr:row>42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DashboardMonate" displayName="DashboardMonate" ref="A10:E22">
  <tableColumns count="5">
    <tableColumn id="1" xr3:uid="{00000000-0010-0000-0000-000001000000}" name="Monat"/>
    <tableColumn id="2" xr3:uid="{00000000-0010-0000-0000-000002000000}" name="Budget Umsatz"/>
    <tableColumn id="3" xr3:uid="{00000000-0010-0000-0000-000003000000}" name="Budget Kosten"/>
    <tableColumn id="4" xr3:uid="{00000000-0010-0000-0000-000004000000}" name="Ist/Forecast Ergebnis"/>
    <tableColumn id="5" xr3:uid="{00000000-0010-0000-0000-000005000000}" name="Abweichung Ergebn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DashboardTypen" displayName="DashboardTypen" ref="G10:K16">
  <tableColumns count="5">
    <tableColumn id="1" xr3:uid="{00000000-0010-0000-0100-000001000000}" name="Typ"/>
    <tableColumn id="2" xr3:uid="{00000000-0010-0000-0100-000002000000}" name="Budget"/>
    <tableColumn id="3" xr3:uid="{00000000-0010-0000-0100-000003000000}" name="Ist/Forecast"/>
    <tableColumn id="4" xr3:uid="{00000000-0010-0000-0100-000004000000}" name="Abweichung"/>
    <tableColumn id="5" xr3:uid="{00000000-0010-0000-0100-000005000000}" name="Abweichung %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BudgetTabelle" displayName="BudgetTabelle" ref="A5:R21">
  <tableColumns count="18">
    <tableColumn id="1" xr3:uid="{00000000-0010-0000-0200-000001000000}" name="ID"/>
    <tableColumn id="2" xr3:uid="{00000000-0010-0000-0200-000002000000}" name="Bereich"/>
    <tableColumn id="3" xr3:uid="{00000000-0010-0000-0200-000003000000}" name="Kategorie"/>
    <tableColumn id="4" xr3:uid="{00000000-0010-0000-0200-000004000000}" name="Typ"/>
    <tableColumn id="5" xr3:uid="{00000000-0010-0000-0200-000005000000}" name="Januar"/>
    <tableColumn id="6" xr3:uid="{00000000-0010-0000-0200-000006000000}" name="Februar"/>
    <tableColumn id="7" xr3:uid="{00000000-0010-0000-0200-000007000000}" name="März"/>
    <tableColumn id="8" xr3:uid="{00000000-0010-0000-0200-000008000000}" name="April"/>
    <tableColumn id="9" xr3:uid="{00000000-0010-0000-0200-000009000000}" name="Mai"/>
    <tableColumn id="10" xr3:uid="{00000000-0010-0000-0200-00000A000000}" name="Juni"/>
    <tableColumn id="11" xr3:uid="{00000000-0010-0000-0200-00000B000000}" name="Juli"/>
    <tableColumn id="12" xr3:uid="{00000000-0010-0000-0200-00000C000000}" name="August"/>
    <tableColumn id="13" xr3:uid="{00000000-0010-0000-0200-00000D000000}" name="September"/>
    <tableColumn id="14" xr3:uid="{00000000-0010-0000-0200-00000E000000}" name="Oktober"/>
    <tableColumn id="15" xr3:uid="{00000000-0010-0000-0200-00000F000000}" name="November"/>
    <tableColumn id="16" xr3:uid="{00000000-0010-0000-0200-000010000000}" name="Dezember"/>
    <tableColumn id="17" xr3:uid="{00000000-0010-0000-0200-000011000000}" name="Jahresbudget"/>
    <tableColumn id="18" xr3:uid="{00000000-0010-0000-0200-000012000000}" name="Anteil am Gesamtbudget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IstTabelle" displayName="IstTabelle" ref="A5:R21">
  <tableColumns count="18">
    <tableColumn id="1" xr3:uid="{00000000-0010-0000-0300-000001000000}" name="ID"/>
    <tableColumn id="2" xr3:uid="{00000000-0010-0000-0300-000002000000}" name="Bereich"/>
    <tableColumn id="3" xr3:uid="{00000000-0010-0000-0300-000003000000}" name="Kategorie"/>
    <tableColumn id="4" xr3:uid="{00000000-0010-0000-0300-000004000000}" name="Typ"/>
    <tableColumn id="5" xr3:uid="{00000000-0010-0000-0300-000005000000}" name="Januar"/>
    <tableColumn id="6" xr3:uid="{00000000-0010-0000-0300-000006000000}" name="Februar"/>
    <tableColumn id="7" xr3:uid="{00000000-0010-0000-0300-000007000000}" name="März"/>
    <tableColumn id="8" xr3:uid="{00000000-0010-0000-0300-000008000000}" name="April"/>
    <tableColumn id="9" xr3:uid="{00000000-0010-0000-0300-000009000000}" name="Mai"/>
    <tableColumn id="10" xr3:uid="{00000000-0010-0000-0300-00000A000000}" name="Juni"/>
    <tableColumn id="11" xr3:uid="{00000000-0010-0000-0300-00000B000000}" name="Juli"/>
    <tableColumn id="12" xr3:uid="{00000000-0010-0000-0300-00000C000000}" name="August"/>
    <tableColumn id="13" xr3:uid="{00000000-0010-0000-0300-00000D000000}" name="September"/>
    <tableColumn id="14" xr3:uid="{00000000-0010-0000-0300-00000E000000}" name="Oktober"/>
    <tableColumn id="15" xr3:uid="{00000000-0010-0000-0300-00000F000000}" name="November"/>
    <tableColumn id="16" xr3:uid="{00000000-0010-0000-0300-000010000000}" name="Dezember"/>
    <tableColumn id="17" xr3:uid="{00000000-0010-0000-0300-000011000000}" name="Jahresbudget"/>
    <tableColumn id="18" xr3:uid="{00000000-0010-0000-0300-000012000000}" name="Anteil am Gesamtbudge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AbweichungTabelle" displayName="AbweichungTabelle" ref="A5:T21">
  <tableColumns count="20">
    <tableColumn id="1" xr3:uid="{00000000-0010-0000-0400-000001000000}" name="ID"/>
    <tableColumn id="2" xr3:uid="{00000000-0010-0000-0400-000002000000}" name="Bereich"/>
    <tableColumn id="3" xr3:uid="{00000000-0010-0000-0400-000003000000}" name="Kategorie"/>
    <tableColumn id="4" xr3:uid="{00000000-0010-0000-0400-000004000000}" name="Typ"/>
    <tableColumn id="5" xr3:uid="{00000000-0010-0000-0400-000005000000}" name="Budget gesamt"/>
    <tableColumn id="6" xr3:uid="{00000000-0010-0000-0400-000006000000}" name="Ist gesamt"/>
    <tableColumn id="7" xr3:uid="{00000000-0010-0000-0400-000007000000}" name="Abweichung €"/>
    <tableColumn id="8" xr3:uid="{00000000-0010-0000-0400-000008000000}" name="Abweichung %"/>
    <tableColumn id="9" xr3:uid="{00000000-0010-0000-0400-000009000000}" name="Januar"/>
    <tableColumn id="10" xr3:uid="{00000000-0010-0000-0400-00000A000000}" name="Februar"/>
    <tableColumn id="11" xr3:uid="{00000000-0010-0000-0400-00000B000000}" name="März"/>
    <tableColumn id="12" xr3:uid="{00000000-0010-0000-0400-00000C000000}" name="April"/>
    <tableColumn id="13" xr3:uid="{00000000-0010-0000-0400-00000D000000}" name="Mai"/>
    <tableColumn id="14" xr3:uid="{00000000-0010-0000-0400-00000E000000}" name="Juni"/>
    <tableColumn id="15" xr3:uid="{00000000-0010-0000-0400-00000F000000}" name="Juli"/>
    <tableColumn id="16" xr3:uid="{00000000-0010-0000-0400-000010000000}" name="August"/>
    <tableColumn id="17" xr3:uid="{00000000-0010-0000-0400-000011000000}" name="September"/>
    <tableColumn id="18" xr3:uid="{00000000-0010-0000-0400-000012000000}" name="Oktober"/>
    <tableColumn id="19" xr3:uid="{00000000-0010-0000-0400-000013000000}" name="November"/>
    <tableColumn id="20" xr3:uid="{00000000-0010-0000-0400-000014000000}" name="Dezemb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"/>
  <sheetViews>
    <sheetView tabSelected="1" workbookViewId="0">
      <selection activeCell="H17" sqref="H17"/>
    </sheetView>
  </sheetViews>
  <sheetFormatPr baseColWidth="10" defaultColWidth="9" defaultRowHeight="15" x14ac:dyDescent="0.25"/>
  <cols>
    <col min="1" max="1" width="24" customWidth="1"/>
    <col min="2" max="6" width="16" customWidth="1"/>
    <col min="7" max="7" width="20" customWidth="1"/>
    <col min="8" max="14" width="16" customWidth="1"/>
  </cols>
  <sheetData>
    <row r="1" spans="1:26" ht="27.95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3" spans="1:26" x14ac:dyDescent="0.25">
      <c r="A3" s="1" t="s">
        <v>1</v>
      </c>
      <c r="B3" s="3" t="s">
        <v>2</v>
      </c>
      <c r="D3" s="13" t="s">
        <v>3</v>
      </c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6" x14ac:dyDescent="0.25">
      <c r="A4" s="1" t="s">
        <v>4</v>
      </c>
      <c r="B4" s="3">
        <v>2026</v>
      </c>
      <c r="D4" s="14" t="s">
        <v>5</v>
      </c>
      <c r="E4" s="14"/>
      <c r="F4" s="14" t="s">
        <v>6</v>
      </c>
      <c r="G4" s="14"/>
      <c r="H4" s="14" t="s">
        <v>7</v>
      </c>
      <c r="I4" s="14"/>
      <c r="J4" s="14" t="s">
        <v>8</v>
      </c>
      <c r="K4" s="14"/>
      <c r="L4" s="14" t="s">
        <v>9</v>
      </c>
      <c r="M4" s="14"/>
    </row>
    <row r="5" spans="1:26" ht="15.75" x14ac:dyDescent="0.25">
      <c r="A5" s="1" t="s">
        <v>10</v>
      </c>
      <c r="B5" s="3" t="s">
        <v>11</v>
      </c>
      <c r="D5" s="15">
        <f>SUMIF(Budgetplanung!$D$6:$D$21,"Einnahme",Budgetplanung!$Q$6:$Q$21)*$B$6</f>
        <v>1288300</v>
      </c>
      <c r="E5" s="16"/>
      <c r="F5" s="15">
        <f>SUM(Budgetplanung!$Q$6:$Q$21)-SUMIF(Budgetplanung!$D$6:$D$21,"Einnahme",Budgetplanung!$Q$6:$Q$21)</f>
        <v>1402700</v>
      </c>
      <c r="G5" s="16"/>
      <c r="H5" s="15">
        <f>D5-F5</f>
        <v>-114400</v>
      </c>
      <c r="I5" s="16"/>
      <c r="J5" s="15">
        <f>SUMIF('Ist-Werte'!$D$6:$D$21,"Einnahme",'Ist-Werte'!$Q$6:$Q$21)-SUMIFS('Ist-Werte'!$Q$6:$Q$21,'Ist-Werte'!$D$6:$D$21,"&lt;&gt;Einnahme")</f>
        <v>-132000</v>
      </c>
      <c r="K5" s="16"/>
      <c r="L5" s="15">
        <f>J5-H5</f>
        <v>-17600</v>
      </c>
      <c r="M5" s="16"/>
    </row>
    <row r="6" spans="1:26" x14ac:dyDescent="0.25">
      <c r="A6" s="1" t="s">
        <v>12</v>
      </c>
      <c r="B6" s="10">
        <f>VLOOKUP(B5,Einstellungen!$A$11:$B$14,2,FALSE)</f>
        <v>1</v>
      </c>
    </row>
    <row r="7" spans="1:26" x14ac:dyDescent="0.25">
      <c r="A7" s="1" t="s">
        <v>13</v>
      </c>
      <c r="B7" s="3" t="s">
        <v>14</v>
      </c>
    </row>
    <row r="10" spans="1:26" x14ac:dyDescent="0.25">
      <c r="A10" s="4" t="s">
        <v>15</v>
      </c>
      <c r="B10" s="4" t="s">
        <v>16</v>
      </c>
      <c r="C10" s="4" t="s">
        <v>17</v>
      </c>
      <c r="D10" s="4" t="s">
        <v>8</v>
      </c>
      <c r="E10" s="4" t="s">
        <v>9</v>
      </c>
      <c r="G10" s="4" t="s">
        <v>18</v>
      </c>
      <c r="H10" s="4" t="s">
        <v>19</v>
      </c>
      <c r="I10" s="4" t="s">
        <v>20</v>
      </c>
      <c r="J10" s="4" t="s">
        <v>21</v>
      </c>
      <c r="K10" s="4" t="s">
        <v>22</v>
      </c>
    </row>
    <row r="11" spans="1:26" x14ac:dyDescent="0.25">
      <c r="A11" t="str">
        <f>"Januar"</f>
        <v>Januar</v>
      </c>
      <c r="B11" s="5">
        <f>SUMIF(Budgetplanung!$D$6:$D$21,"Einnahme",Budgetplanung!$E$6:$E$21)*$B$6</f>
        <v>84500</v>
      </c>
      <c r="C11" s="5">
        <f>SUMIFS(Budgetplanung!$E$6:$E$21,Budgetplanung!$D$6:$D$21,"&lt;&gt;Einnahme")</f>
        <v>108800</v>
      </c>
      <c r="D11" s="5">
        <f>SUMIF('Ist-Werte'!$D$6:$D$21,"Einnahme",'Ist-Werte'!$E$6:$E$21)-SUMIFS('Ist-Werte'!$E$6:$E$21,'Ist-Werte'!$D$6:$D$21,"&lt;&gt;Einnahme")</f>
        <v>-31000</v>
      </c>
      <c r="E11" s="5">
        <f t="shared" ref="E11:E22" si="0">D11-(B11-C11)</f>
        <v>-6700</v>
      </c>
      <c r="G11" t="str">
        <f>"Einnahme"</f>
        <v>Einnahme</v>
      </c>
      <c r="H11" s="5">
        <f>SUMIF(Budgetplanung!$D$6:$D$21,G11,Budgetplanung!$Q$6:$Q$21)</f>
        <v>1288300</v>
      </c>
      <c r="I11" s="5">
        <f>SUMIF('Ist-Werte'!$D$6:$D$21,G11,'Ist-Werte'!$Q$6:$Q$21)</f>
        <v>1288500</v>
      </c>
      <c r="J11" s="5">
        <f t="shared" ref="J11:J16" si="1">I11-H11</f>
        <v>200</v>
      </c>
      <c r="K11" s="6">
        <f t="shared" ref="K11:K16" si="2">IFERROR(J11/H11,0)</f>
        <v>1.5524334394162849E-4</v>
      </c>
    </row>
    <row r="12" spans="1:26" x14ac:dyDescent="0.25">
      <c r="A12" t="str">
        <f>"Februar"</f>
        <v>Februar</v>
      </c>
      <c r="B12" s="5">
        <f>SUMIF(Budgetplanung!$D$6:$D$21,"Einnahme",Budgetplanung!$F$6:$F$21)*$B$6</f>
        <v>86500</v>
      </c>
      <c r="C12" s="5">
        <f>SUMIFS(Budgetplanung!$F$6:$F$21,Budgetplanung!$D$6:$D$21,"&lt;&gt;Einnahme")</f>
        <v>102900</v>
      </c>
      <c r="D12" s="5">
        <f>SUMIF('Ist-Werte'!$D$6:$D$21,"Einnahme",'Ist-Werte'!$F$6:$F$21)-SUMIFS('Ist-Werte'!$F$6:$F$21,'Ist-Werte'!$D$6:$D$21,"&lt;&gt;Einnahme")</f>
        <v>-12700</v>
      </c>
      <c r="E12" s="5">
        <f t="shared" si="0"/>
        <v>3700</v>
      </c>
      <c r="G12" t="str">
        <f>"Variable Kosten"</f>
        <v>Variable Kosten</v>
      </c>
      <c r="H12" s="5">
        <f>SUMIF(Budgetplanung!$D$6:$D$21,G12,Budgetplanung!$Q$6:$Q$21)</f>
        <v>498000</v>
      </c>
      <c r="I12" s="5">
        <f>SUMIF('Ist-Werte'!$D$6:$D$21,G12,'Ist-Werte'!$Q$6:$Q$21)</f>
        <v>504200</v>
      </c>
      <c r="J12" s="5">
        <f t="shared" si="1"/>
        <v>6200</v>
      </c>
      <c r="K12" s="6">
        <f t="shared" si="2"/>
        <v>1.2449799196787148E-2</v>
      </c>
    </row>
    <row r="13" spans="1:26" x14ac:dyDescent="0.25">
      <c r="A13" t="str">
        <f>"März"</f>
        <v>März</v>
      </c>
      <c r="B13" s="5">
        <f>SUMIF(Budgetplanung!$D$6:$D$21,"Einnahme",Budgetplanung!$G$6:$G$21)*$B$6</f>
        <v>92300</v>
      </c>
      <c r="C13" s="5">
        <f>SUMIFS(Budgetplanung!$G$6:$G$21,Budgetplanung!$D$6:$D$21,"&lt;&gt;Einnahme")</f>
        <v>102850</v>
      </c>
      <c r="D13" s="5">
        <f>SUMIF('Ist-Werte'!$D$6:$D$21,"Einnahme",'Ist-Werte'!$G$6:$G$21)-SUMIFS('Ist-Werte'!$G$6:$G$21,'Ist-Werte'!$D$6:$D$21,"&lt;&gt;Einnahme")</f>
        <v>-16600</v>
      </c>
      <c r="E13" s="5">
        <f t="shared" si="0"/>
        <v>-6050</v>
      </c>
      <c r="G13" t="str">
        <f>"Fixkosten"</f>
        <v>Fixkosten</v>
      </c>
      <c r="H13" s="5">
        <f>SUMIF(Budgetplanung!$D$6:$D$21,G13,Budgetplanung!$Q$6:$Q$21)</f>
        <v>352000</v>
      </c>
      <c r="I13" s="5">
        <f>SUMIF('Ist-Werte'!$D$6:$D$21,G13,'Ist-Werte'!$Q$6:$Q$21)</f>
        <v>356300</v>
      </c>
      <c r="J13" s="5">
        <f t="shared" si="1"/>
        <v>4300</v>
      </c>
      <c r="K13" s="6">
        <f t="shared" si="2"/>
        <v>1.2215909090909092E-2</v>
      </c>
    </row>
    <row r="14" spans="1:26" x14ac:dyDescent="0.25">
      <c r="A14" t="str">
        <f>"April"</f>
        <v>April</v>
      </c>
      <c r="B14" s="5">
        <f>SUMIF(Budgetplanung!$D$6:$D$21,"Einnahme",Budgetplanung!$H$6:$H$21)*$B$6</f>
        <v>97500</v>
      </c>
      <c r="C14" s="5">
        <f>SUMIFS(Budgetplanung!$H$6:$H$21,Budgetplanung!$D$6:$D$21,"&lt;&gt;Einnahme")</f>
        <v>114250</v>
      </c>
      <c r="D14" s="5">
        <f>SUMIF('Ist-Werte'!$D$6:$D$21,"Einnahme",'Ist-Werte'!$H$6:$H$21)-SUMIFS('Ist-Werte'!$H$6:$H$21,'Ist-Werte'!$D$6:$D$21,"&lt;&gt;Einnahme")</f>
        <v>-15200</v>
      </c>
      <c r="E14" s="5">
        <f t="shared" si="0"/>
        <v>1550</v>
      </c>
      <c r="G14" t="str">
        <f>"Personal"</f>
        <v>Personal</v>
      </c>
      <c r="H14" s="5">
        <f>SUMIF(Budgetplanung!$D$6:$D$21,G14,Budgetplanung!$Q$6:$Q$21)</f>
        <v>502300</v>
      </c>
      <c r="I14" s="5">
        <f>SUMIF('Ist-Werte'!$D$6:$D$21,G14,'Ist-Werte'!$Q$6:$Q$21)</f>
        <v>508900</v>
      </c>
      <c r="J14" s="5">
        <f t="shared" si="1"/>
        <v>6600</v>
      </c>
      <c r="K14" s="6">
        <f t="shared" si="2"/>
        <v>1.313955803304798E-2</v>
      </c>
    </row>
    <row r="15" spans="1:26" x14ac:dyDescent="0.25">
      <c r="A15" t="str">
        <f>"Mai"</f>
        <v>Mai</v>
      </c>
      <c r="B15" s="5">
        <f>SUMIF(Budgetplanung!$D$6:$D$21,"Einnahme",Budgetplanung!$I$6:$I$21)*$B$6</f>
        <v>101200</v>
      </c>
      <c r="C15" s="5">
        <f>SUMIFS(Budgetplanung!$I$6:$I$21,Budgetplanung!$D$6:$D$21,"&lt;&gt;Einnahme")</f>
        <v>108500</v>
      </c>
      <c r="D15" s="5">
        <f>SUMIF('Ist-Werte'!$D$6:$D$21,"Einnahme",'Ist-Werte'!$I$6:$I$21)-SUMIFS('Ist-Werte'!$I$6:$I$21,'Ist-Werte'!$D$6:$D$21,"&lt;&gt;Einnahme")</f>
        <v>-17000</v>
      </c>
      <c r="E15" s="5">
        <f t="shared" si="0"/>
        <v>-9700</v>
      </c>
      <c r="G15" t="str">
        <f>"Investition"</f>
        <v>Investition</v>
      </c>
      <c r="H15" s="5">
        <f>SUMIF(Budgetplanung!$D$6:$D$21,G15,Budgetplanung!$Q$6:$Q$21)</f>
        <v>32700</v>
      </c>
      <c r="I15" s="5">
        <f>SUMIF('Ist-Werte'!$D$6:$D$21,G15,'Ist-Werte'!$Q$6:$Q$21)</f>
        <v>33000</v>
      </c>
      <c r="J15" s="5">
        <f t="shared" si="1"/>
        <v>300</v>
      </c>
      <c r="K15" s="6">
        <f t="shared" si="2"/>
        <v>9.1743119266055051E-3</v>
      </c>
    </row>
    <row r="16" spans="1:26" x14ac:dyDescent="0.25">
      <c r="A16" t="str">
        <f>"Juni"</f>
        <v>Juni</v>
      </c>
      <c r="B16" s="5">
        <f>SUMIF(Budgetplanung!$D$6:$D$21,"Einnahme",Budgetplanung!$J$6:$J$21)*$B$6</f>
        <v>105800</v>
      </c>
      <c r="C16" s="5">
        <f>SUMIFS(Budgetplanung!$J$6:$J$21,Budgetplanung!$D$6:$D$21,"&lt;&gt;Einnahme")</f>
        <v>120300</v>
      </c>
      <c r="D16" s="5">
        <f>SUMIF('Ist-Werte'!$D$6:$D$21,"Einnahme",'Ist-Werte'!$J$6:$J$21)-SUMIFS('Ist-Werte'!$J$6:$J$21,'Ist-Werte'!$D$6:$D$21,"&lt;&gt;Einnahme")</f>
        <v>-9900</v>
      </c>
      <c r="E16" s="5">
        <f t="shared" si="0"/>
        <v>4600</v>
      </c>
      <c r="G16" t="str">
        <f>"Finanzierung"</f>
        <v>Finanzierung</v>
      </c>
      <c r="H16" s="5">
        <f>SUMIF(Budgetplanung!$D$6:$D$21,G16,Budgetplanung!$Q$6:$Q$21)</f>
        <v>17700</v>
      </c>
      <c r="I16" s="5">
        <f>SUMIF('Ist-Werte'!$D$6:$D$21,G16,'Ist-Werte'!$Q$6:$Q$21)</f>
        <v>18100</v>
      </c>
      <c r="J16" s="5">
        <f t="shared" si="1"/>
        <v>400</v>
      </c>
      <c r="K16" s="6">
        <f t="shared" si="2"/>
        <v>2.2598870056497175E-2</v>
      </c>
    </row>
    <row r="17" spans="1:5" x14ac:dyDescent="0.25">
      <c r="A17" t="str">
        <f>"Juli"</f>
        <v>Juli</v>
      </c>
      <c r="B17" s="5">
        <f>SUMIF(Budgetplanung!$D$6:$D$21,"Einnahme",Budgetplanung!$K$6:$K$21)*$B$6</f>
        <v>109500</v>
      </c>
      <c r="C17" s="5">
        <f>SUMIFS(Budgetplanung!$K$6:$K$21,Budgetplanung!$D$6:$D$21,"&lt;&gt;Einnahme")</f>
        <v>116950</v>
      </c>
      <c r="D17" s="5">
        <f>SUMIF('Ist-Werte'!$D$6:$D$21,"Einnahme",'Ist-Werte'!$K$6:$K$21)-SUMIFS('Ist-Werte'!$K$6:$K$21,'Ist-Werte'!$D$6:$D$21,"&lt;&gt;Einnahme")</f>
        <v>-8700</v>
      </c>
      <c r="E17" s="5">
        <f t="shared" si="0"/>
        <v>-1250</v>
      </c>
    </row>
    <row r="18" spans="1:5" x14ac:dyDescent="0.25">
      <c r="A18" t="str">
        <f>"August"</f>
        <v>August</v>
      </c>
      <c r="B18" s="5">
        <f>SUMIF(Budgetplanung!$D$6:$D$21,"Einnahme",Budgetplanung!$L$6:$L$21)*$B$6</f>
        <v>112500</v>
      </c>
      <c r="C18" s="5">
        <f>SUMIFS(Budgetplanung!$L$6:$L$21,Budgetplanung!$D$6:$D$21,"&lt;&gt;Einnahme")</f>
        <v>122450</v>
      </c>
      <c r="D18" s="5">
        <f>SUMIF('Ist-Werte'!$D$6:$D$21,"Einnahme",'Ist-Werte'!$L$6:$L$21)-SUMIFS('Ist-Werte'!$L$6:$L$21,'Ist-Werte'!$D$6:$D$21,"&lt;&gt;Einnahme")</f>
        <v>-13600</v>
      </c>
      <c r="E18" s="5">
        <f t="shared" si="0"/>
        <v>-3650</v>
      </c>
    </row>
    <row r="19" spans="1:5" x14ac:dyDescent="0.25">
      <c r="A19" t="str">
        <f>"September"</f>
        <v>September</v>
      </c>
      <c r="B19" s="5">
        <f>SUMIF(Budgetplanung!$D$6:$D$21,"Einnahme",Budgetplanung!$M$6:$M$21)*$B$6</f>
        <v>118200</v>
      </c>
      <c r="C19" s="5">
        <f>SUMIFS(Budgetplanung!$M$6:$M$21,Budgetplanung!$D$6:$D$21,"&lt;&gt;Einnahme")</f>
        <v>118300</v>
      </c>
      <c r="D19" s="5">
        <f>SUMIF('Ist-Werte'!$D$6:$D$21,"Einnahme",'Ist-Werte'!$M$6:$M$21)-SUMIFS('Ist-Werte'!$M$6:$M$21,'Ist-Werte'!$D$6:$D$21,"&lt;&gt;Einnahme")</f>
        <v>-100</v>
      </c>
      <c r="E19" s="5">
        <f t="shared" si="0"/>
        <v>0</v>
      </c>
    </row>
    <row r="20" spans="1:5" x14ac:dyDescent="0.25">
      <c r="A20" t="str">
        <f>"Oktober"</f>
        <v>Oktober</v>
      </c>
      <c r="B20" s="5">
        <f>SUMIF(Budgetplanung!$D$6:$D$21,"Einnahme",Budgetplanung!$N$6:$N$21)*$B$6</f>
        <v>121500</v>
      </c>
      <c r="C20" s="5">
        <f>SUMIFS(Budgetplanung!$N$6:$N$21,Budgetplanung!$D$6:$D$21,"&lt;&gt;Einnahme")</f>
        <v>124200</v>
      </c>
      <c r="D20" s="5">
        <f>SUMIF('Ist-Werte'!$D$6:$D$21,"Einnahme",'Ist-Werte'!$N$6:$N$21)-SUMIFS('Ist-Werte'!$N$6:$N$21,'Ist-Werte'!$D$6:$D$21,"&lt;&gt;Einnahme")</f>
        <v>-2700</v>
      </c>
      <c r="E20" s="5">
        <f t="shared" si="0"/>
        <v>0</v>
      </c>
    </row>
    <row r="21" spans="1:5" x14ac:dyDescent="0.25">
      <c r="A21" t="str">
        <f>"November"</f>
        <v>November</v>
      </c>
      <c r="B21" s="5">
        <f>SUMIF(Budgetplanung!$D$6:$D$21,"Einnahme",Budgetplanung!$O$6:$O$21)*$B$6</f>
        <v>125500</v>
      </c>
      <c r="C21" s="5">
        <f>SUMIFS(Budgetplanung!$O$6:$O$21,Budgetplanung!$D$6:$D$21,"&lt;&gt;Einnahme")</f>
        <v>128450</v>
      </c>
      <c r="D21" s="5">
        <f>SUMIF('Ist-Werte'!$D$6:$D$21,"Einnahme",'Ist-Werte'!$O$6:$O$21)-SUMIFS('Ist-Werte'!$O$6:$O$21,'Ist-Werte'!$D$6:$D$21,"&lt;&gt;Einnahme")</f>
        <v>-3000</v>
      </c>
      <c r="E21" s="5">
        <f t="shared" si="0"/>
        <v>-50</v>
      </c>
    </row>
    <row r="22" spans="1:5" x14ac:dyDescent="0.25">
      <c r="A22" t="str">
        <f>"Dezember"</f>
        <v>Dezember</v>
      </c>
      <c r="B22" s="5">
        <f>SUMIF(Budgetplanung!$D$6:$D$21,"Einnahme",Budgetplanung!$P$6:$P$21)*$B$6</f>
        <v>133300</v>
      </c>
      <c r="C22" s="5">
        <f>SUMIFS(Budgetplanung!$P$6:$P$21,Budgetplanung!$D$6:$D$21,"&lt;&gt;Einnahme")</f>
        <v>134750</v>
      </c>
      <c r="D22" s="5">
        <f>SUMIF('Ist-Werte'!$D$6:$D$21,"Einnahme",'Ist-Werte'!$P$6:$P$21)-SUMIFS('Ist-Werte'!$P$6:$P$21,'Ist-Werte'!$D$6:$D$21,"&lt;&gt;Einnahme")</f>
        <v>-1500</v>
      </c>
      <c r="E22" s="5">
        <f t="shared" si="0"/>
        <v>-50</v>
      </c>
    </row>
  </sheetData>
  <mergeCells count="12">
    <mergeCell ref="A1:N1"/>
    <mergeCell ref="D3:N3"/>
    <mergeCell ref="D4:E4"/>
    <mergeCell ref="D5:E5"/>
    <mergeCell ref="F4:G4"/>
    <mergeCell ref="F5:G5"/>
    <mergeCell ref="H4:I4"/>
    <mergeCell ref="H5:I5"/>
    <mergeCell ref="J4:K4"/>
    <mergeCell ref="J5:K5"/>
    <mergeCell ref="L4:M4"/>
    <mergeCell ref="L5:M5"/>
  </mergeCells>
  <pageMargins left="0.7" right="0.7" top="0.75" bottom="0.75" header="0.3" footer="0.3"/>
  <drawing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Einstellungen!$A$4:$A$7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"/>
  <sheetViews>
    <sheetView workbookViewId="0"/>
  </sheetViews>
  <sheetFormatPr baseColWidth="10" defaultColWidth="9" defaultRowHeight="15" x14ac:dyDescent="0.25"/>
  <cols>
    <col min="1" max="2" width="14" customWidth="1"/>
    <col min="3" max="3" width="30" customWidth="1"/>
    <col min="4" max="18" width="14" customWidth="1"/>
  </cols>
  <sheetData>
    <row r="1" spans="1:26" ht="18.75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  <c r="U1" s="11"/>
      <c r="V1" s="11"/>
      <c r="W1" s="11"/>
      <c r="X1" s="11"/>
      <c r="Y1" s="11"/>
      <c r="Z1" s="11"/>
    </row>
    <row r="3" spans="1:26" x14ac:dyDescent="0.25">
      <c r="A3" s="3" t="s">
        <v>4</v>
      </c>
      <c r="B3" s="3">
        <v>2026</v>
      </c>
      <c r="C3" s="3" t="s">
        <v>10</v>
      </c>
      <c r="D3" s="3" t="s">
        <v>11</v>
      </c>
    </row>
    <row r="5" spans="1:26" x14ac:dyDescent="0.25">
      <c r="A5" s="4" t="s">
        <v>24</v>
      </c>
      <c r="B5" s="4" t="s">
        <v>25</v>
      </c>
      <c r="C5" s="4" t="s">
        <v>26</v>
      </c>
      <c r="D5" s="4" t="s">
        <v>18</v>
      </c>
      <c r="E5" s="4" t="s">
        <v>27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4" t="s">
        <v>35</v>
      </c>
      <c r="N5" s="4" t="s">
        <v>36</v>
      </c>
      <c r="O5" s="4" t="s">
        <v>37</v>
      </c>
      <c r="P5" s="4" t="s">
        <v>38</v>
      </c>
      <c r="Q5" s="4" t="s">
        <v>39</v>
      </c>
      <c r="R5" s="4" t="s">
        <v>40</v>
      </c>
    </row>
    <row r="6" spans="1:26" x14ac:dyDescent="0.25">
      <c r="A6" t="s">
        <v>41</v>
      </c>
      <c r="B6" t="s">
        <v>42</v>
      </c>
      <c r="C6" t="s">
        <v>43</v>
      </c>
      <c r="D6" t="s">
        <v>44</v>
      </c>
      <c r="E6" s="7">
        <v>52000</v>
      </c>
      <c r="F6" s="7">
        <v>54000</v>
      </c>
      <c r="G6" s="7">
        <v>57000</v>
      </c>
      <c r="H6" s="7">
        <v>60000</v>
      </c>
      <c r="I6" s="7">
        <v>62000</v>
      </c>
      <c r="J6" s="7">
        <v>65000</v>
      </c>
      <c r="K6" s="7">
        <v>67000</v>
      </c>
      <c r="L6" s="7">
        <v>69000</v>
      </c>
      <c r="M6" s="7">
        <v>72000</v>
      </c>
      <c r="N6" s="7">
        <v>74000</v>
      </c>
      <c r="O6" s="7">
        <v>76000</v>
      </c>
      <c r="P6" s="7">
        <v>82000</v>
      </c>
      <c r="Q6" s="8">
        <f t="shared" ref="Q6:Q21" si="0">SUM(E6:P6)</f>
        <v>790000</v>
      </c>
      <c r="R6" s="9">
        <f t="shared" ref="R6:R21" si="1">IFERROR(Q6/SUM($Q$6:$Q$21),0)</f>
        <v>0.29357116313638054</v>
      </c>
    </row>
    <row r="7" spans="1:26" x14ac:dyDescent="0.25">
      <c r="A7" t="s">
        <v>45</v>
      </c>
      <c r="B7" t="s">
        <v>42</v>
      </c>
      <c r="C7" t="s">
        <v>46</v>
      </c>
      <c r="D7" t="s">
        <v>44</v>
      </c>
      <c r="E7" s="7">
        <v>18000</v>
      </c>
      <c r="F7" s="7">
        <v>19000</v>
      </c>
      <c r="G7" s="7">
        <v>21000</v>
      </c>
      <c r="H7" s="7">
        <v>23000</v>
      </c>
      <c r="I7" s="7">
        <v>24000</v>
      </c>
      <c r="J7" s="7">
        <v>26000</v>
      </c>
      <c r="K7" s="7">
        <v>27000</v>
      </c>
      <c r="L7" s="7">
        <v>28000</v>
      </c>
      <c r="M7" s="7">
        <v>30000</v>
      </c>
      <c r="N7" s="7">
        <v>31000</v>
      </c>
      <c r="O7" s="7">
        <v>33000</v>
      </c>
      <c r="P7" s="7">
        <v>35000</v>
      </c>
      <c r="Q7" s="8">
        <f t="shared" si="0"/>
        <v>315000</v>
      </c>
      <c r="R7" s="9">
        <f t="shared" si="1"/>
        <v>0.11705685618729098</v>
      </c>
    </row>
    <row r="8" spans="1:26" x14ac:dyDescent="0.25">
      <c r="A8" t="s">
        <v>47</v>
      </c>
      <c r="B8" t="s">
        <v>48</v>
      </c>
      <c r="C8" t="s">
        <v>49</v>
      </c>
      <c r="D8" t="s">
        <v>44</v>
      </c>
      <c r="E8" s="7">
        <v>12000</v>
      </c>
      <c r="F8" s="7">
        <v>12000</v>
      </c>
      <c r="G8" s="7">
        <v>12500</v>
      </c>
      <c r="H8" s="7">
        <v>12500</v>
      </c>
      <c r="I8" s="7">
        <v>13000</v>
      </c>
      <c r="J8" s="7">
        <v>13000</v>
      </c>
      <c r="K8" s="7">
        <v>13500</v>
      </c>
      <c r="L8" s="7">
        <v>13500</v>
      </c>
      <c r="M8" s="7">
        <v>14000</v>
      </c>
      <c r="N8" s="7">
        <v>14000</v>
      </c>
      <c r="O8" s="7">
        <v>14500</v>
      </c>
      <c r="P8" s="7">
        <v>14500</v>
      </c>
      <c r="Q8" s="8">
        <f t="shared" si="0"/>
        <v>159000</v>
      </c>
      <c r="R8" s="9">
        <f t="shared" si="1"/>
        <v>5.9085841694537344E-2</v>
      </c>
    </row>
    <row r="9" spans="1:26" x14ac:dyDescent="0.25">
      <c r="A9" t="s">
        <v>50</v>
      </c>
      <c r="B9" t="s">
        <v>51</v>
      </c>
      <c r="C9" t="s">
        <v>52</v>
      </c>
      <c r="D9" t="s">
        <v>44</v>
      </c>
      <c r="E9" s="7">
        <v>2500</v>
      </c>
      <c r="F9" s="7">
        <v>1500</v>
      </c>
      <c r="G9" s="7">
        <v>1800</v>
      </c>
      <c r="H9" s="7">
        <v>2000</v>
      </c>
      <c r="I9" s="7">
        <v>2200</v>
      </c>
      <c r="J9" s="7">
        <v>1800</v>
      </c>
      <c r="K9" s="7">
        <v>2000</v>
      </c>
      <c r="L9" s="7">
        <v>2000</v>
      </c>
      <c r="M9" s="7">
        <v>2200</v>
      </c>
      <c r="N9" s="7">
        <v>2500</v>
      </c>
      <c r="O9" s="7">
        <v>2000</v>
      </c>
      <c r="P9" s="7">
        <v>1800</v>
      </c>
      <c r="Q9" s="8">
        <f t="shared" si="0"/>
        <v>24300</v>
      </c>
      <c r="R9" s="9">
        <f t="shared" si="1"/>
        <v>9.0301003344481611E-3</v>
      </c>
    </row>
    <row r="10" spans="1:26" x14ac:dyDescent="0.25">
      <c r="A10" t="s">
        <v>53</v>
      </c>
      <c r="B10" t="s">
        <v>54</v>
      </c>
      <c r="C10" t="s">
        <v>55</v>
      </c>
      <c r="D10" t="s">
        <v>56</v>
      </c>
      <c r="E10" s="7">
        <v>21000</v>
      </c>
      <c r="F10" s="7">
        <v>22000</v>
      </c>
      <c r="G10" s="7">
        <v>23500</v>
      </c>
      <c r="H10" s="7">
        <v>25000</v>
      </c>
      <c r="I10" s="7">
        <v>26000</v>
      </c>
      <c r="J10" s="7">
        <v>27500</v>
      </c>
      <c r="K10" s="7">
        <v>28500</v>
      </c>
      <c r="L10" s="7">
        <v>29500</v>
      </c>
      <c r="M10" s="7">
        <v>31000</v>
      </c>
      <c r="N10" s="7">
        <v>32000</v>
      </c>
      <c r="O10" s="7">
        <v>33500</v>
      </c>
      <c r="P10" s="7">
        <v>36000</v>
      </c>
      <c r="Q10" s="8">
        <f t="shared" si="0"/>
        <v>335500</v>
      </c>
      <c r="R10" s="9">
        <f t="shared" si="1"/>
        <v>0.12467484206614642</v>
      </c>
    </row>
    <row r="11" spans="1:26" x14ac:dyDescent="0.25">
      <c r="A11" t="s">
        <v>57</v>
      </c>
      <c r="B11" t="s">
        <v>54</v>
      </c>
      <c r="C11" t="s">
        <v>58</v>
      </c>
      <c r="D11" t="s">
        <v>56</v>
      </c>
      <c r="E11" s="7">
        <v>6500</v>
      </c>
      <c r="F11" s="7">
        <v>6700</v>
      </c>
      <c r="G11" s="7">
        <v>7200</v>
      </c>
      <c r="H11" s="7">
        <v>7600</v>
      </c>
      <c r="I11" s="7">
        <v>7900</v>
      </c>
      <c r="J11" s="7">
        <v>8300</v>
      </c>
      <c r="K11" s="7">
        <v>8500</v>
      </c>
      <c r="L11" s="7">
        <v>8800</v>
      </c>
      <c r="M11" s="7">
        <v>9200</v>
      </c>
      <c r="N11" s="7">
        <v>9400</v>
      </c>
      <c r="O11" s="7">
        <v>9800</v>
      </c>
      <c r="P11" s="7">
        <v>10500</v>
      </c>
      <c r="Q11" s="8">
        <f t="shared" si="0"/>
        <v>100400</v>
      </c>
      <c r="R11" s="9">
        <f t="shared" si="1"/>
        <v>3.7309550353028617E-2</v>
      </c>
    </row>
    <row r="12" spans="1:26" x14ac:dyDescent="0.25">
      <c r="A12" t="s">
        <v>59</v>
      </c>
      <c r="B12" t="s">
        <v>60</v>
      </c>
      <c r="C12" t="s">
        <v>61</v>
      </c>
      <c r="D12" t="s">
        <v>56</v>
      </c>
      <c r="E12" s="7">
        <v>4200</v>
      </c>
      <c r="F12" s="7">
        <v>4300</v>
      </c>
      <c r="G12" s="7">
        <v>4500</v>
      </c>
      <c r="H12" s="7">
        <v>4700</v>
      </c>
      <c r="I12" s="7">
        <v>4900</v>
      </c>
      <c r="J12" s="7">
        <v>5100</v>
      </c>
      <c r="K12" s="7">
        <v>5200</v>
      </c>
      <c r="L12" s="7">
        <v>5400</v>
      </c>
      <c r="M12" s="7">
        <v>5600</v>
      </c>
      <c r="N12" s="7">
        <v>5800</v>
      </c>
      <c r="O12" s="7">
        <v>6000</v>
      </c>
      <c r="P12" s="7">
        <v>6400</v>
      </c>
      <c r="Q12" s="8">
        <f t="shared" si="0"/>
        <v>62100</v>
      </c>
      <c r="R12" s="9">
        <f t="shared" si="1"/>
        <v>2.3076923076923078E-2</v>
      </c>
    </row>
    <row r="13" spans="1:26" x14ac:dyDescent="0.25">
      <c r="A13" t="s">
        <v>62</v>
      </c>
      <c r="B13" t="s">
        <v>63</v>
      </c>
      <c r="C13" t="s">
        <v>64</v>
      </c>
      <c r="D13" t="s">
        <v>63</v>
      </c>
      <c r="E13" s="7">
        <v>38500</v>
      </c>
      <c r="F13" s="7">
        <v>38500</v>
      </c>
      <c r="G13" s="7">
        <v>38500</v>
      </c>
      <c r="H13" s="7">
        <v>39200</v>
      </c>
      <c r="I13" s="7">
        <v>39200</v>
      </c>
      <c r="J13" s="7">
        <v>39200</v>
      </c>
      <c r="K13" s="7">
        <v>40500</v>
      </c>
      <c r="L13" s="7">
        <v>40500</v>
      </c>
      <c r="M13" s="7">
        <v>40500</v>
      </c>
      <c r="N13" s="7">
        <v>41200</v>
      </c>
      <c r="O13" s="7">
        <v>41200</v>
      </c>
      <c r="P13" s="7">
        <v>41200</v>
      </c>
      <c r="Q13" s="8">
        <f t="shared" si="0"/>
        <v>478200</v>
      </c>
      <c r="R13" s="9">
        <f t="shared" si="1"/>
        <v>0.17770345596432552</v>
      </c>
    </row>
    <row r="14" spans="1:26" x14ac:dyDescent="0.25">
      <c r="A14" t="s">
        <v>65</v>
      </c>
      <c r="B14" t="s">
        <v>63</v>
      </c>
      <c r="C14" t="s">
        <v>66</v>
      </c>
      <c r="D14" t="s">
        <v>63</v>
      </c>
      <c r="E14" s="7">
        <v>1800</v>
      </c>
      <c r="F14" s="7">
        <v>1400</v>
      </c>
      <c r="G14" s="7">
        <v>2200</v>
      </c>
      <c r="H14" s="7">
        <v>1800</v>
      </c>
      <c r="I14" s="7">
        <v>2500</v>
      </c>
      <c r="J14" s="7">
        <v>1700</v>
      </c>
      <c r="K14" s="7">
        <v>2100</v>
      </c>
      <c r="L14" s="7">
        <v>1600</v>
      </c>
      <c r="M14" s="7">
        <v>2400</v>
      </c>
      <c r="N14" s="7">
        <v>1800</v>
      </c>
      <c r="O14" s="7">
        <v>2200</v>
      </c>
      <c r="P14" s="7">
        <v>2600</v>
      </c>
      <c r="Q14" s="8">
        <f t="shared" si="0"/>
        <v>24100</v>
      </c>
      <c r="R14" s="9">
        <f t="shared" si="1"/>
        <v>8.9557785209959124E-3</v>
      </c>
    </row>
    <row r="15" spans="1:26" x14ac:dyDescent="0.25">
      <c r="A15" t="s">
        <v>67</v>
      </c>
      <c r="B15" t="s">
        <v>68</v>
      </c>
      <c r="C15" t="s">
        <v>69</v>
      </c>
      <c r="D15" t="s">
        <v>70</v>
      </c>
      <c r="E15" s="7">
        <v>7500</v>
      </c>
      <c r="F15" s="7">
        <v>7800</v>
      </c>
      <c r="G15" s="7">
        <v>8200</v>
      </c>
      <c r="H15" s="7">
        <v>8500</v>
      </c>
      <c r="I15" s="7">
        <v>9000</v>
      </c>
      <c r="J15" s="7">
        <v>9300</v>
      </c>
      <c r="K15" s="7">
        <v>9500</v>
      </c>
      <c r="L15" s="7">
        <v>9800</v>
      </c>
      <c r="M15" s="7">
        <v>10200</v>
      </c>
      <c r="N15" s="7">
        <v>10500</v>
      </c>
      <c r="O15" s="7">
        <v>11000</v>
      </c>
      <c r="P15" s="7">
        <v>11800</v>
      </c>
      <c r="Q15" s="8">
        <f t="shared" si="0"/>
        <v>113100</v>
      </c>
      <c r="R15" s="9">
        <f t="shared" si="1"/>
        <v>4.2028985507246375E-2</v>
      </c>
    </row>
    <row r="16" spans="1:26" x14ac:dyDescent="0.25">
      <c r="A16" t="s">
        <v>71</v>
      </c>
      <c r="B16" t="s">
        <v>68</v>
      </c>
      <c r="C16" t="s">
        <v>72</v>
      </c>
      <c r="D16" t="s">
        <v>70</v>
      </c>
      <c r="E16" s="7">
        <v>0</v>
      </c>
      <c r="F16" s="7">
        <v>3500</v>
      </c>
      <c r="G16" s="7">
        <v>0</v>
      </c>
      <c r="H16" s="7">
        <v>8500</v>
      </c>
      <c r="I16" s="7">
        <v>0</v>
      </c>
      <c r="J16" s="7">
        <v>4200</v>
      </c>
      <c r="K16" s="7">
        <v>0</v>
      </c>
      <c r="L16" s="7">
        <v>7500</v>
      </c>
      <c r="M16" s="7">
        <v>0</v>
      </c>
      <c r="N16" s="7">
        <v>3900</v>
      </c>
      <c r="O16" s="7">
        <v>0</v>
      </c>
      <c r="P16" s="7">
        <v>6500</v>
      </c>
      <c r="Q16" s="8">
        <f t="shared" si="0"/>
        <v>34100</v>
      </c>
      <c r="R16" s="9">
        <f t="shared" si="1"/>
        <v>1.2671869193608324E-2</v>
      </c>
    </row>
    <row r="17" spans="1:18" x14ac:dyDescent="0.25">
      <c r="A17" t="s">
        <v>73</v>
      </c>
      <c r="B17" t="s">
        <v>74</v>
      </c>
      <c r="C17" t="s">
        <v>75</v>
      </c>
      <c r="D17" t="s">
        <v>70</v>
      </c>
      <c r="E17" s="7">
        <v>5200</v>
      </c>
      <c r="F17" s="7">
        <v>5200</v>
      </c>
      <c r="G17" s="7">
        <v>5300</v>
      </c>
      <c r="H17" s="7">
        <v>5300</v>
      </c>
      <c r="I17" s="7">
        <v>5400</v>
      </c>
      <c r="J17" s="7">
        <v>5400</v>
      </c>
      <c r="K17" s="7">
        <v>5600</v>
      </c>
      <c r="L17" s="7">
        <v>5600</v>
      </c>
      <c r="M17" s="7">
        <v>5700</v>
      </c>
      <c r="N17" s="7">
        <v>5700</v>
      </c>
      <c r="O17" s="7">
        <v>5900</v>
      </c>
      <c r="P17" s="7">
        <v>5900</v>
      </c>
      <c r="Q17" s="8">
        <f t="shared" si="0"/>
        <v>66200</v>
      </c>
      <c r="R17" s="9">
        <f t="shared" si="1"/>
        <v>2.4600520252694165E-2</v>
      </c>
    </row>
    <row r="18" spans="1:18" x14ac:dyDescent="0.25">
      <c r="A18" t="s">
        <v>76</v>
      </c>
      <c r="B18" t="s">
        <v>77</v>
      </c>
      <c r="C18" t="s">
        <v>78</v>
      </c>
      <c r="D18" t="s">
        <v>70</v>
      </c>
      <c r="E18" s="7">
        <v>9800</v>
      </c>
      <c r="F18" s="7">
        <v>9800</v>
      </c>
      <c r="G18" s="7">
        <v>9800</v>
      </c>
      <c r="H18" s="7">
        <v>10000</v>
      </c>
      <c r="I18" s="7">
        <v>10000</v>
      </c>
      <c r="J18" s="7">
        <v>10000</v>
      </c>
      <c r="K18" s="7">
        <v>10200</v>
      </c>
      <c r="L18" s="7">
        <v>10200</v>
      </c>
      <c r="M18" s="7">
        <v>10200</v>
      </c>
      <c r="N18" s="7">
        <v>10400</v>
      </c>
      <c r="O18" s="7">
        <v>10400</v>
      </c>
      <c r="P18" s="7">
        <v>10400</v>
      </c>
      <c r="Q18" s="8">
        <f t="shared" si="0"/>
        <v>121200</v>
      </c>
      <c r="R18" s="9">
        <f t="shared" si="1"/>
        <v>4.5039018952062429E-2</v>
      </c>
    </row>
    <row r="19" spans="1:18" x14ac:dyDescent="0.25">
      <c r="A19" t="s">
        <v>79</v>
      </c>
      <c r="B19" t="s">
        <v>77</v>
      </c>
      <c r="C19" t="s">
        <v>80</v>
      </c>
      <c r="D19" t="s">
        <v>70</v>
      </c>
      <c r="E19" s="7">
        <v>4200</v>
      </c>
      <c r="F19" s="7">
        <v>900</v>
      </c>
      <c r="G19" s="7">
        <v>900</v>
      </c>
      <c r="H19" s="7">
        <v>900</v>
      </c>
      <c r="I19" s="7">
        <v>900</v>
      </c>
      <c r="J19" s="7">
        <v>900</v>
      </c>
      <c r="K19" s="7">
        <v>4200</v>
      </c>
      <c r="L19" s="7">
        <v>900</v>
      </c>
      <c r="M19" s="7">
        <v>900</v>
      </c>
      <c r="N19" s="7">
        <v>900</v>
      </c>
      <c r="O19" s="7">
        <v>900</v>
      </c>
      <c r="P19" s="7">
        <v>900</v>
      </c>
      <c r="Q19" s="8">
        <f t="shared" si="0"/>
        <v>17400</v>
      </c>
      <c r="R19" s="9">
        <f t="shared" si="1"/>
        <v>6.4659977703455966E-3</v>
      </c>
    </row>
    <row r="20" spans="1:18" x14ac:dyDescent="0.25">
      <c r="A20" t="s">
        <v>81</v>
      </c>
      <c r="B20" t="s">
        <v>82</v>
      </c>
      <c r="C20" t="s">
        <v>83</v>
      </c>
      <c r="D20" t="s">
        <v>84</v>
      </c>
      <c r="E20" s="7">
        <v>1600</v>
      </c>
      <c r="F20" s="7">
        <v>1600</v>
      </c>
      <c r="G20" s="7">
        <v>1550</v>
      </c>
      <c r="H20" s="7">
        <v>1550</v>
      </c>
      <c r="I20" s="7">
        <v>1500</v>
      </c>
      <c r="J20" s="7">
        <v>1500</v>
      </c>
      <c r="K20" s="7">
        <v>1450</v>
      </c>
      <c r="L20" s="7">
        <v>1450</v>
      </c>
      <c r="M20" s="7">
        <v>1400</v>
      </c>
      <c r="N20" s="7">
        <v>1400</v>
      </c>
      <c r="O20" s="7">
        <v>1350</v>
      </c>
      <c r="P20" s="7">
        <v>1350</v>
      </c>
      <c r="Q20" s="8">
        <f t="shared" si="0"/>
        <v>17700</v>
      </c>
      <c r="R20" s="9">
        <f t="shared" si="1"/>
        <v>6.5774804905239688E-3</v>
      </c>
    </row>
    <row r="21" spans="1:18" x14ac:dyDescent="0.25">
      <c r="A21" t="s">
        <v>85</v>
      </c>
      <c r="B21" t="s">
        <v>74</v>
      </c>
      <c r="C21" t="s">
        <v>86</v>
      </c>
      <c r="D21" t="s">
        <v>87</v>
      </c>
      <c r="E21" s="7">
        <v>8500</v>
      </c>
      <c r="F21" s="7">
        <v>1200</v>
      </c>
      <c r="G21" s="7">
        <v>1200</v>
      </c>
      <c r="H21" s="7">
        <v>1200</v>
      </c>
      <c r="I21" s="7">
        <v>1200</v>
      </c>
      <c r="J21" s="7">
        <v>7200</v>
      </c>
      <c r="K21" s="7">
        <v>1200</v>
      </c>
      <c r="L21" s="7">
        <v>1200</v>
      </c>
      <c r="M21" s="7">
        <v>1200</v>
      </c>
      <c r="N21" s="7">
        <v>1200</v>
      </c>
      <c r="O21" s="7">
        <v>6200</v>
      </c>
      <c r="P21" s="7">
        <v>1200</v>
      </c>
      <c r="Q21" s="8">
        <f t="shared" si="0"/>
        <v>32700</v>
      </c>
      <c r="R21" s="9">
        <f t="shared" si="1"/>
        <v>1.2151616499442587E-2</v>
      </c>
    </row>
  </sheetData>
  <mergeCells count="1">
    <mergeCell ref="A1:R1"/>
  </mergeCell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100-000000000000}">
          <x14:formula1>
            <xm:f>Einstellungen!$D$4:$D$12</xm:f>
          </x14:formula1>
          <xm:sqref>B6:B21</xm:sqref>
        </x14:dataValidation>
        <x14:dataValidation type="list" xr:uid="{00000000-0002-0000-0100-000001000000}">
          <x14:formula1>
            <xm:f>Einstellungen!$C$4:$C$9</xm:f>
          </x14:formula1>
          <xm:sqref>D6:D21</xm:sqref>
        </x14:dataValidation>
        <x14:dataValidation type="list" xr:uid="{00000000-0002-0000-0100-000002000000}">
          <x14:formula1>
            <xm:f>Einstellungen!$A$4:$A$7</xm:f>
          </x14:formula1>
          <xm:sqref>D3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1"/>
  <sheetViews>
    <sheetView workbookViewId="0"/>
  </sheetViews>
  <sheetFormatPr baseColWidth="10" defaultColWidth="9" defaultRowHeight="15" x14ac:dyDescent="0.25"/>
  <cols>
    <col min="1" max="2" width="14" customWidth="1"/>
    <col min="3" max="3" width="30" customWidth="1"/>
    <col min="4" max="18" width="14" customWidth="1"/>
  </cols>
  <sheetData>
    <row r="1" spans="1:26" ht="18.75" x14ac:dyDescent="0.25">
      <c r="A1" s="12" t="s">
        <v>88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  <c r="T1" s="11"/>
      <c r="U1" s="11"/>
      <c r="V1" s="11"/>
      <c r="W1" s="11"/>
      <c r="X1" s="11"/>
      <c r="Y1" s="11"/>
      <c r="Z1" s="11"/>
    </row>
    <row r="3" spans="1:26" x14ac:dyDescent="0.25">
      <c r="A3" s="3" t="s">
        <v>89</v>
      </c>
      <c r="B3" s="3" t="s">
        <v>90</v>
      </c>
    </row>
    <row r="5" spans="1:26" x14ac:dyDescent="0.25">
      <c r="A5" s="4" t="s">
        <v>24</v>
      </c>
      <c r="B5" s="4" t="s">
        <v>25</v>
      </c>
      <c r="C5" s="4" t="s">
        <v>26</v>
      </c>
      <c r="D5" s="4" t="s">
        <v>18</v>
      </c>
      <c r="E5" s="4" t="s">
        <v>27</v>
      </c>
      <c r="F5" s="4" t="s">
        <v>28</v>
      </c>
      <c r="G5" s="4" t="s">
        <v>29</v>
      </c>
      <c r="H5" s="4" t="s">
        <v>30</v>
      </c>
      <c r="I5" s="4" t="s">
        <v>31</v>
      </c>
      <c r="J5" s="4" t="s">
        <v>32</v>
      </c>
      <c r="K5" s="4" t="s">
        <v>33</v>
      </c>
      <c r="L5" s="4" t="s">
        <v>34</v>
      </c>
      <c r="M5" s="4" t="s">
        <v>35</v>
      </c>
      <c r="N5" s="4" t="s">
        <v>36</v>
      </c>
      <c r="O5" s="4" t="s">
        <v>37</v>
      </c>
      <c r="P5" s="4" t="s">
        <v>38</v>
      </c>
      <c r="Q5" s="4" t="s">
        <v>39</v>
      </c>
      <c r="R5" s="4" t="s">
        <v>40</v>
      </c>
    </row>
    <row r="6" spans="1:26" x14ac:dyDescent="0.25">
      <c r="A6" t="s">
        <v>41</v>
      </c>
      <c r="B6" t="s">
        <v>42</v>
      </c>
      <c r="C6" t="s">
        <v>43</v>
      </c>
      <c r="D6" t="s">
        <v>44</v>
      </c>
      <c r="E6" s="7">
        <v>49900</v>
      </c>
      <c r="F6" s="7">
        <v>55100</v>
      </c>
      <c r="G6" s="7">
        <v>56400</v>
      </c>
      <c r="H6" s="7">
        <v>62400</v>
      </c>
      <c r="I6" s="7">
        <v>60100</v>
      </c>
      <c r="J6" s="7">
        <v>65600</v>
      </c>
      <c r="K6" s="7">
        <v>69000</v>
      </c>
      <c r="L6" s="7">
        <v>67600</v>
      </c>
      <c r="M6" s="7">
        <v>72000</v>
      </c>
      <c r="N6" s="7">
        <v>74000</v>
      </c>
      <c r="O6" s="7">
        <v>76000</v>
      </c>
      <c r="P6" s="7">
        <v>82000</v>
      </c>
      <c r="Q6" s="8">
        <f t="shared" ref="Q6:Q21" si="0">SUM(E6:P6)</f>
        <v>790100</v>
      </c>
      <c r="R6" s="9">
        <f t="shared" ref="R6:R21" si="1">IFERROR(Q6/SUM($Q$6:$Q$21),0)</f>
        <v>0.29165743816906609</v>
      </c>
    </row>
    <row r="7" spans="1:26" x14ac:dyDescent="0.25">
      <c r="A7" t="s">
        <v>45</v>
      </c>
      <c r="B7" t="s">
        <v>42</v>
      </c>
      <c r="C7" t="s">
        <v>46</v>
      </c>
      <c r="D7" t="s">
        <v>44</v>
      </c>
      <c r="E7" s="7">
        <v>17300</v>
      </c>
      <c r="F7" s="7">
        <v>19400</v>
      </c>
      <c r="G7" s="7">
        <v>20800</v>
      </c>
      <c r="H7" s="7">
        <v>23900</v>
      </c>
      <c r="I7" s="7">
        <v>23300</v>
      </c>
      <c r="J7" s="7">
        <v>26300</v>
      </c>
      <c r="K7" s="7">
        <v>27800</v>
      </c>
      <c r="L7" s="7">
        <v>27400</v>
      </c>
      <c r="M7" s="7">
        <v>30000</v>
      </c>
      <c r="N7" s="7">
        <v>31000</v>
      </c>
      <c r="O7" s="7">
        <v>33000</v>
      </c>
      <c r="P7" s="7">
        <v>35000</v>
      </c>
      <c r="Q7" s="8">
        <f t="shared" si="0"/>
        <v>315200</v>
      </c>
      <c r="R7" s="9">
        <f t="shared" si="1"/>
        <v>0.11635289774824659</v>
      </c>
    </row>
    <row r="8" spans="1:26" x14ac:dyDescent="0.25">
      <c r="A8" t="s">
        <v>47</v>
      </c>
      <c r="B8" t="s">
        <v>48</v>
      </c>
      <c r="C8" t="s">
        <v>49</v>
      </c>
      <c r="D8" t="s">
        <v>44</v>
      </c>
      <c r="E8" s="7">
        <v>11500</v>
      </c>
      <c r="F8" s="7">
        <v>12200</v>
      </c>
      <c r="G8" s="7">
        <v>12400</v>
      </c>
      <c r="H8" s="7">
        <v>13000</v>
      </c>
      <c r="I8" s="7">
        <v>12600</v>
      </c>
      <c r="J8" s="7">
        <v>13100</v>
      </c>
      <c r="K8" s="7">
        <v>13900</v>
      </c>
      <c r="L8" s="7">
        <v>13200</v>
      </c>
      <c r="M8" s="7">
        <v>14000</v>
      </c>
      <c r="N8" s="7">
        <v>14000</v>
      </c>
      <c r="O8" s="7">
        <v>14500</v>
      </c>
      <c r="P8" s="7">
        <v>14500</v>
      </c>
      <c r="Q8" s="8">
        <f t="shared" si="0"/>
        <v>158900</v>
      </c>
      <c r="R8" s="9">
        <f t="shared" si="1"/>
        <v>5.8656330749354002E-2</v>
      </c>
    </row>
    <row r="9" spans="1:26" x14ac:dyDescent="0.25">
      <c r="A9" t="s">
        <v>50</v>
      </c>
      <c r="B9" t="s">
        <v>51</v>
      </c>
      <c r="C9" t="s">
        <v>52</v>
      </c>
      <c r="D9" t="s">
        <v>44</v>
      </c>
      <c r="E9" s="7">
        <v>2400</v>
      </c>
      <c r="F9" s="7">
        <v>1500</v>
      </c>
      <c r="G9" s="7">
        <v>1800</v>
      </c>
      <c r="H9" s="7">
        <v>2100</v>
      </c>
      <c r="I9" s="7">
        <v>2100</v>
      </c>
      <c r="J9" s="7">
        <v>1800</v>
      </c>
      <c r="K9" s="7">
        <v>2100</v>
      </c>
      <c r="L9" s="7">
        <v>2000</v>
      </c>
      <c r="M9" s="7">
        <v>2200</v>
      </c>
      <c r="N9" s="7">
        <v>2500</v>
      </c>
      <c r="O9" s="7">
        <v>2000</v>
      </c>
      <c r="P9" s="7">
        <v>1800</v>
      </c>
      <c r="Q9" s="8">
        <f t="shared" si="0"/>
        <v>24300</v>
      </c>
      <c r="R9" s="9">
        <f t="shared" si="1"/>
        <v>8.9700996677740865E-3</v>
      </c>
    </row>
    <row r="10" spans="1:26" x14ac:dyDescent="0.25">
      <c r="A10" t="s">
        <v>53</v>
      </c>
      <c r="B10" t="s">
        <v>54</v>
      </c>
      <c r="C10" t="s">
        <v>55</v>
      </c>
      <c r="D10" t="s">
        <v>56</v>
      </c>
      <c r="E10" s="7">
        <v>21600</v>
      </c>
      <c r="F10" s="7">
        <v>21600</v>
      </c>
      <c r="G10" s="7">
        <v>24700</v>
      </c>
      <c r="H10" s="7">
        <v>25500</v>
      </c>
      <c r="I10" s="7">
        <v>27600</v>
      </c>
      <c r="J10" s="7">
        <v>26700</v>
      </c>
      <c r="K10" s="7">
        <v>29600</v>
      </c>
      <c r="L10" s="7">
        <v>29800</v>
      </c>
      <c r="M10" s="7">
        <v>31000</v>
      </c>
      <c r="N10" s="7">
        <v>32000</v>
      </c>
      <c r="O10" s="7">
        <v>33500</v>
      </c>
      <c r="P10" s="7">
        <v>36000</v>
      </c>
      <c r="Q10" s="8">
        <f t="shared" si="0"/>
        <v>339600</v>
      </c>
      <c r="R10" s="9">
        <f t="shared" si="1"/>
        <v>0.12535991140642302</v>
      </c>
    </row>
    <row r="11" spans="1:26" x14ac:dyDescent="0.25">
      <c r="A11" t="s">
        <v>57</v>
      </c>
      <c r="B11" t="s">
        <v>54</v>
      </c>
      <c r="C11" t="s">
        <v>58</v>
      </c>
      <c r="D11" t="s">
        <v>56</v>
      </c>
      <c r="E11" s="7">
        <v>6700</v>
      </c>
      <c r="F11" s="7">
        <v>6600</v>
      </c>
      <c r="G11" s="7">
        <v>7600</v>
      </c>
      <c r="H11" s="7">
        <v>7800</v>
      </c>
      <c r="I11" s="7">
        <v>8400</v>
      </c>
      <c r="J11" s="7">
        <v>8100</v>
      </c>
      <c r="K11" s="7">
        <v>8800</v>
      </c>
      <c r="L11" s="7">
        <v>8900</v>
      </c>
      <c r="M11" s="7">
        <v>9200</v>
      </c>
      <c r="N11" s="7">
        <v>9400</v>
      </c>
      <c r="O11" s="7">
        <v>9800</v>
      </c>
      <c r="P11" s="7">
        <v>10500</v>
      </c>
      <c r="Q11" s="8">
        <f t="shared" si="0"/>
        <v>101800</v>
      </c>
      <c r="R11" s="9">
        <f t="shared" si="1"/>
        <v>3.7578442229605019E-2</v>
      </c>
    </row>
    <row r="12" spans="1:26" x14ac:dyDescent="0.25">
      <c r="A12" t="s">
        <v>59</v>
      </c>
      <c r="B12" t="s">
        <v>60</v>
      </c>
      <c r="C12" t="s">
        <v>61</v>
      </c>
      <c r="D12" t="s">
        <v>56</v>
      </c>
      <c r="E12" s="7">
        <v>4300</v>
      </c>
      <c r="F12" s="7">
        <v>4200</v>
      </c>
      <c r="G12" s="7">
        <v>4700</v>
      </c>
      <c r="H12" s="7">
        <v>4800</v>
      </c>
      <c r="I12" s="7">
        <v>5200</v>
      </c>
      <c r="J12" s="7">
        <v>4900</v>
      </c>
      <c r="K12" s="7">
        <v>5400</v>
      </c>
      <c r="L12" s="7">
        <v>5500</v>
      </c>
      <c r="M12" s="7">
        <v>5600</v>
      </c>
      <c r="N12" s="7">
        <v>5800</v>
      </c>
      <c r="O12" s="7">
        <v>6000</v>
      </c>
      <c r="P12" s="7">
        <v>6400</v>
      </c>
      <c r="Q12" s="8">
        <f t="shared" si="0"/>
        <v>62800</v>
      </c>
      <c r="R12" s="9">
        <f t="shared" si="1"/>
        <v>2.3181985972683648E-2</v>
      </c>
    </row>
    <row r="13" spans="1:26" x14ac:dyDescent="0.25">
      <c r="A13" t="s">
        <v>62</v>
      </c>
      <c r="B13" t="s">
        <v>63</v>
      </c>
      <c r="C13" t="s">
        <v>64</v>
      </c>
      <c r="D13" t="s">
        <v>63</v>
      </c>
      <c r="E13" s="7">
        <v>39700</v>
      </c>
      <c r="F13" s="7">
        <v>37700</v>
      </c>
      <c r="G13" s="7">
        <v>40400</v>
      </c>
      <c r="H13" s="7">
        <v>40000</v>
      </c>
      <c r="I13" s="7">
        <v>41600</v>
      </c>
      <c r="J13" s="7">
        <v>38000</v>
      </c>
      <c r="K13" s="7">
        <v>42100</v>
      </c>
      <c r="L13" s="7">
        <v>40900</v>
      </c>
      <c r="M13" s="7">
        <v>40500</v>
      </c>
      <c r="N13" s="7">
        <v>41200</v>
      </c>
      <c r="O13" s="7">
        <v>41200</v>
      </c>
      <c r="P13" s="7">
        <v>41200</v>
      </c>
      <c r="Q13" s="8">
        <f t="shared" si="0"/>
        <v>484500</v>
      </c>
      <c r="R13" s="9">
        <f t="shared" si="1"/>
        <v>0.17884828349944629</v>
      </c>
    </row>
    <row r="14" spans="1:26" x14ac:dyDescent="0.25">
      <c r="A14" t="s">
        <v>65</v>
      </c>
      <c r="B14" t="s">
        <v>63</v>
      </c>
      <c r="C14" t="s">
        <v>66</v>
      </c>
      <c r="D14" t="s">
        <v>63</v>
      </c>
      <c r="E14" s="7">
        <v>1900</v>
      </c>
      <c r="F14" s="7">
        <v>1400</v>
      </c>
      <c r="G14" s="7">
        <v>2300</v>
      </c>
      <c r="H14" s="7">
        <v>1800</v>
      </c>
      <c r="I14" s="7">
        <v>2600</v>
      </c>
      <c r="J14" s="7">
        <v>1600</v>
      </c>
      <c r="K14" s="7">
        <v>2200</v>
      </c>
      <c r="L14" s="7">
        <v>1600</v>
      </c>
      <c r="M14" s="7">
        <v>2400</v>
      </c>
      <c r="N14" s="7">
        <v>1800</v>
      </c>
      <c r="O14" s="7">
        <v>2200</v>
      </c>
      <c r="P14" s="7">
        <v>2600</v>
      </c>
      <c r="Q14" s="8">
        <f t="shared" si="0"/>
        <v>24400</v>
      </c>
      <c r="R14" s="9">
        <f t="shared" si="1"/>
        <v>9.0070136581764486E-3</v>
      </c>
    </row>
    <row r="15" spans="1:26" x14ac:dyDescent="0.25">
      <c r="A15" t="s">
        <v>67</v>
      </c>
      <c r="B15" t="s">
        <v>68</v>
      </c>
      <c r="C15" t="s">
        <v>69</v>
      </c>
      <c r="D15" t="s">
        <v>70</v>
      </c>
      <c r="E15" s="7">
        <v>7700</v>
      </c>
      <c r="F15" s="7">
        <v>7600</v>
      </c>
      <c r="G15" s="7">
        <v>8600</v>
      </c>
      <c r="H15" s="7">
        <v>8700</v>
      </c>
      <c r="I15" s="7">
        <v>9500</v>
      </c>
      <c r="J15" s="7">
        <v>9000</v>
      </c>
      <c r="K15" s="7">
        <v>9900</v>
      </c>
      <c r="L15" s="7">
        <v>9900</v>
      </c>
      <c r="M15" s="7">
        <v>10200</v>
      </c>
      <c r="N15" s="7">
        <v>10500</v>
      </c>
      <c r="O15" s="7">
        <v>11000</v>
      </c>
      <c r="P15" s="7">
        <v>11800</v>
      </c>
      <c r="Q15" s="8">
        <f t="shared" si="0"/>
        <v>114400</v>
      </c>
      <c r="R15" s="9">
        <f t="shared" si="1"/>
        <v>4.2229605020302693E-2</v>
      </c>
    </row>
    <row r="16" spans="1:26" x14ac:dyDescent="0.25">
      <c r="A16" t="s">
        <v>71</v>
      </c>
      <c r="B16" t="s">
        <v>68</v>
      </c>
      <c r="C16" t="s">
        <v>72</v>
      </c>
      <c r="D16" t="s">
        <v>70</v>
      </c>
      <c r="E16" s="7">
        <v>0</v>
      </c>
      <c r="F16" s="7">
        <v>3400</v>
      </c>
      <c r="G16" s="7">
        <v>0</v>
      </c>
      <c r="H16" s="7">
        <v>8700</v>
      </c>
      <c r="I16" s="7">
        <v>0</v>
      </c>
      <c r="J16" s="7">
        <v>4100</v>
      </c>
      <c r="K16" s="7">
        <v>0</v>
      </c>
      <c r="L16" s="7">
        <v>7600</v>
      </c>
      <c r="M16" s="7">
        <v>0</v>
      </c>
      <c r="N16" s="7">
        <v>3900</v>
      </c>
      <c r="O16" s="7">
        <v>0</v>
      </c>
      <c r="P16" s="7">
        <v>6500</v>
      </c>
      <c r="Q16" s="8">
        <f t="shared" si="0"/>
        <v>34200</v>
      </c>
      <c r="R16" s="9">
        <f t="shared" si="1"/>
        <v>1.2624584717607974E-2</v>
      </c>
    </row>
    <row r="17" spans="1:18" x14ac:dyDescent="0.25">
      <c r="A17" t="s">
        <v>73</v>
      </c>
      <c r="B17" t="s">
        <v>74</v>
      </c>
      <c r="C17" t="s">
        <v>75</v>
      </c>
      <c r="D17" t="s">
        <v>70</v>
      </c>
      <c r="E17" s="7">
        <v>5400</v>
      </c>
      <c r="F17" s="7">
        <v>5100</v>
      </c>
      <c r="G17" s="7">
        <v>5600</v>
      </c>
      <c r="H17" s="7">
        <v>5400</v>
      </c>
      <c r="I17" s="7">
        <v>5700</v>
      </c>
      <c r="J17" s="7">
        <v>5200</v>
      </c>
      <c r="K17" s="7">
        <v>5800</v>
      </c>
      <c r="L17" s="7">
        <v>5700</v>
      </c>
      <c r="M17" s="7">
        <v>5700</v>
      </c>
      <c r="N17" s="7">
        <v>5700</v>
      </c>
      <c r="O17" s="7">
        <v>5900</v>
      </c>
      <c r="P17" s="7">
        <v>5900</v>
      </c>
      <c r="Q17" s="8">
        <f t="shared" si="0"/>
        <v>67100</v>
      </c>
      <c r="R17" s="9">
        <f t="shared" si="1"/>
        <v>2.4769287559985233E-2</v>
      </c>
    </row>
    <row r="18" spans="1:18" x14ac:dyDescent="0.25">
      <c r="A18" t="s">
        <v>76</v>
      </c>
      <c r="B18" t="s">
        <v>77</v>
      </c>
      <c r="C18" t="s">
        <v>78</v>
      </c>
      <c r="D18" t="s">
        <v>70</v>
      </c>
      <c r="E18" s="7">
        <v>10100</v>
      </c>
      <c r="F18" s="7">
        <v>9600</v>
      </c>
      <c r="G18" s="7">
        <v>10300</v>
      </c>
      <c r="H18" s="7">
        <v>10200</v>
      </c>
      <c r="I18" s="7">
        <v>10600</v>
      </c>
      <c r="J18" s="7">
        <v>9700</v>
      </c>
      <c r="K18" s="7">
        <v>10600</v>
      </c>
      <c r="L18" s="7">
        <v>10300</v>
      </c>
      <c r="M18" s="7">
        <v>10200</v>
      </c>
      <c r="N18" s="7">
        <v>10400</v>
      </c>
      <c r="O18" s="7">
        <v>10400</v>
      </c>
      <c r="P18" s="7">
        <v>10400</v>
      </c>
      <c r="Q18" s="8">
        <f t="shared" si="0"/>
        <v>122800</v>
      </c>
      <c r="R18" s="9">
        <f t="shared" si="1"/>
        <v>4.5330380214101143E-2</v>
      </c>
    </row>
    <row r="19" spans="1:18" x14ac:dyDescent="0.25">
      <c r="A19" t="s">
        <v>79</v>
      </c>
      <c r="B19" t="s">
        <v>77</v>
      </c>
      <c r="C19" t="s">
        <v>80</v>
      </c>
      <c r="D19" t="s">
        <v>70</v>
      </c>
      <c r="E19" s="7">
        <v>4300</v>
      </c>
      <c r="F19" s="7">
        <v>900</v>
      </c>
      <c r="G19" s="7">
        <v>900</v>
      </c>
      <c r="H19" s="7">
        <v>900</v>
      </c>
      <c r="I19" s="7">
        <v>1000</v>
      </c>
      <c r="J19" s="7">
        <v>900</v>
      </c>
      <c r="K19" s="7">
        <v>4400</v>
      </c>
      <c r="L19" s="7">
        <v>900</v>
      </c>
      <c r="M19" s="7">
        <v>900</v>
      </c>
      <c r="N19" s="7">
        <v>900</v>
      </c>
      <c r="O19" s="7">
        <v>900</v>
      </c>
      <c r="P19" s="7">
        <v>900</v>
      </c>
      <c r="Q19" s="8">
        <f t="shared" si="0"/>
        <v>17800</v>
      </c>
      <c r="R19" s="9">
        <f t="shared" si="1"/>
        <v>6.5706902916205243E-3</v>
      </c>
    </row>
    <row r="20" spans="1:18" x14ac:dyDescent="0.25">
      <c r="A20" t="s">
        <v>81</v>
      </c>
      <c r="B20" t="s">
        <v>82</v>
      </c>
      <c r="C20" t="s">
        <v>83</v>
      </c>
      <c r="D20" t="s">
        <v>84</v>
      </c>
      <c r="E20" s="7">
        <v>1600</v>
      </c>
      <c r="F20" s="7">
        <v>1600</v>
      </c>
      <c r="G20" s="7">
        <v>1600</v>
      </c>
      <c r="H20" s="7">
        <v>1600</v>
      </c>
      <c r="I20" s="7">
        <v>1600</v>
      </c>
      <c r="J20" s="7">
        <v>1500</v>
      </c>
      <c r="K20" s="7">
        <v>1500</v>
      </c>
      <c r="L20" s="7">
        <v>1500</v>
      </c>
      <c r="M20" s="7">
        <v>1400</v>
      </c>
      <c r="N20" s="7">
        <v>1400</v>
      </c>
      <c r="O20" s="7">
        <v>1400</v>
      </c>
      <c r="P20" s="7">
        <v>1400</v>
      </c>
      <c r="Q20" s="8">
        <f t="shared" si="0"/>
        <v>18100</v>
      </c>
      <c r="R20" s="9">
        <f t="shared" si="1"/>
        <v>6.6814322628276114E-3</v>
      </c>
    </row>
    <row r="21" spans="1:18" x14ac:dyDescent="0.25">
      <c r="A21" t="s">
        <v>85</v>
      </c>
      <c r="B21" t="s">
        <v>74</v>
      </c>
      <c r="C21" t="s">
        <v>86</v>
      </c>
      <c r="D21" t="s">
        <v>87</v>
      </c>
      <c r="E21" s="7">
        <v>8800</v>
      </c>
      <c r="F21" s="7">
        <v>1200</v>
      </c>
      <c r="G21" s="7">
        <v>1300</v>
      </c>
      <c r="H21" s="7">
        <v>1200</v>
      </c>
      <c r="I21" s="7">
        <v>1300</v>
      </c>
      <c r="J21" s="7">
        <v>7000</v>
      </c>
      <c r="K21" s="7">
        <v>1200</v>
      </c>
      <c r="L21" s="7">
        <v>1200</v>
      </c>
      <c r="M21" s="7">
        <v>1200</v>
      </c>
      <c r="N21" s="7">
        <v>1200</v>
      </c>
      <c r="O21" s="7">
        <v>6200</v>
      </c>
      <c r="P21" s="7">
        <v>1200</v>
      </c>
      <c r="Q21" s="8">
        <f t="shared" si="0"/>
        <v>33000</v>
      </c>
      <c r="R21" s="9">
        <f t="shared" si="1"/>
        <v>1.2181616832779624E-2</v>
      </c>
    </row>
  </sheetData>
  <mergeCells count="1">
    <mergeCell ref="A1:R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21"/>
  <sheetViews>
    <sheetView workbookViewId="0"/>
  </sheetViews>
  <sheetFormatPr baseColWidth="10" defaultColWidth="9" defaultRowHeight="15" x14ac:dyDescent="0.25"/>
  <cols>
    <col min="1" max="2" width="14" customWidth="1"/>
    <col min="3" max="3" width="30" customWidth="1"/>
    <col min="4" max="20" width="14" customWidth="1"/>
  </cols>
  <sheetData>
    <row r="1" spans="1:26" ht="18.75" x14ac:dyDescent="0.25">
      <c r="A1" s="12" t="s">
        <v>91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1"/>
      <c r="U1" s="11"/>
      <c r="V1" s="11"/>
      <c r="W1" s="11"/>
      <c r="X1" s="11"/>
      <c r="Y1" s="11"/>
      <c r="Z1" s="11"/>
    </row>
    <row r="5" spans="1:26" x14ac:dyDescent="0.25">
      <c r="A5" s="4" t="s">
        <v>24</v>
      </c>
      <c r="B5" s="4" t="s">
        <v>25</v>
      </c>
      <c r="C5" s="4" t="s">
        <v>26</v>
      </c>
      <c r="D5" s="4" t="s">
        <v>18</v>
      </c>
      <c r="E5" s="4" t="s">
        <v>92</v>
      </c>
      <c r="F5" s="4" t="s">
        <v>93</v>
      </c>
      <c r="G5" s="4" t="s">
        <v>94</v>
      </c>
      <c r="H5" s="4" t="s">
        <v>22</v>
      </c>
      <c r="I5" s="4" t="s">
        <v>27</v>
      </c>
      <c r="J5" s="4" t="s">
        <v>28</v>
      </c>
      <c r="K5" s="4" t="s">
        <v>29</v>
      </c>
      <c r="L5" s="4" t="s">
        <v>30</v>
      </c>
      <c r="M5" s="4" t="s">
        <v>31</v>
      </c>
      <c r="N5" s="4" t="s">
        <v>32</v>
      </c>
      <c r="O5" s="4" t="s">
        <v>33</v>
      </c>
      <c r="P5" s="4" t="s">
        <v>34</v>
      </c>
      <c r="Q5" s="4" t="s">
        <v>35</v>
      </c>
      <c r="R5" s="4" t="s">
        <v>36</v>
      </c>
      <c r="S5" s="4" t="s">
        <v>37</v>
      </c>
      <c r="T5" s="4" t="s">
        <v>38</v>
      </c>
      <c r="U5" t="s">
        <v>95</v>
      </c>
    </row>
    <row r="6" spans="1:26" x14ac:dyDescent="0.25">
      <c r="A6" t="str">
        <f>Budgetplanung!A6</f>
        <v>E-001</v>
      </c>
      <c r="B6" t="str">
        <f>Budgetplanung!B6</f>
        <v>Vertrieb</v>
      </c>
      <c r="C6" t="str">
        <f>Budgetplanung!C6</f>
        <v>Produktumsatz Inland</v>
      </c>
      <c r="D6" t="str">
        <f>Budgetplanung!D6</f>
        <v>Einnahme</v>
      </c>
      <c r="E6" s="5">
        <f>Budgetplanung!Q6</f>
        <v>790000</v>
      </c>
      <c r="F6" s="5">
        <f>'Ist-Werte'!Q6</f>
        <v>790100</v>
      </c>
      <c r="G6" s="5">
        <f t="shared" ref="G6:G21" si="0">F6-E6</f>
        <v>100</v>
      </c>
      <c r="H6" s="6">
        <f t="shared" ref="H6:H21" si="1">IFERROR(G6/E6,0)</f>
        <v>1.2658227848101267E-4</v>
      </c>
      <c r="I6" s="5">
        <f>'Ist-Werte'!E6-Budgetplanung!E6</f>
        <v>-2100</v>
      </c>
      <c r="J6" s="5">
        <f>'Ist-Werte'!F6-Budgetplanung!F6</f>
        <v>1100</v>
      </c>
      <c r="K6" s="5">
        <f>'Ist-Werte'!G6-Budgetplanung!G6</f>
        <v>-600</v>
      </c>
      <c r="L6" s="5">
        <f>'Ist-Werte'!H6-Budgetplanung!H6</f>
        <v>2400</v>
      </c>
      <c r="M6" s="5">
        <f>'Ist-Werte'!I6-Budgetplanung!I6</f>
        <v>-1900</v>
      </c>
      <c r="N6" s="5">
        <f>'Ist-Werte'!J6-Budgetplanung!J6</f>
        <v>600</v>
      </c>
      <c r="O6" s="5">
        <f>'Ist-Werte'!K6-Budgetplanung!K6</f>
        <v>2000</v>
      </c>
      <c r="P6" s="5">
        <f>'Ist-Werte'!L6-Budgetplanung!L6</f>
        <v>-1400</v>
      </c>
      <c r="Q6" s="5">
        <f>'Ist-Werte'!M6-Budgetplanung!M6</f>
        <v>0</v>
      </c>
      <c r="R6" s="5">
        <f>'Ist-Werte'!N6-Budgetplanung!N6</f>
        <v>0</v>
      </c>
      <c r="S6" s="5">
        <f>'Ist-Werte'!O6-Budgetplanung!O6</f>
        <v>0</v>
      </c>
      <c r="T6">
        <f>'Ist-Werte'!P6-Budgetplanung!P6</f>
        <v>0</v>
      </c>
      <c r="U6" t="str">
        <f t="shared" ref="U6:U21" si="2">IF(ABS(H6)&lt;=5%,"Im Rahmen",IF(H6&gt;5%,"Über Budget","Unter Budget"))</f>
        <v>Im Rahmen</v>
      </c>
    </row>
    <row r="7" spans="1:26" x14ac:dyDescent="0.25">
      <c r="A7" t="str">
        <f>Budgetplanung!A7</f>
        <v>E-002</v>
      </c>
      <c r="B7" t="str">
        <f>Budgetplanung!B7</f>
        <v>Vertrieb</v>
      </c>
      <c r="C7" t="str">
        <f>Budgetplanung!C7</f>
        <v>Produktumsatz Export</v>
      </c>
      <c r="D7" t="str">
        <f>Budgetplanung!D7</f>
        <v>Einnahme</v>
      </c>
      <c r="E7" s="5">
        <f>Budgetplanung!Q7</f>
        <v>315000</v>
      </c>
      <c r="F7" s="5">
        <f>'Ist-Werte'!Q7</f>
        <v>315200</v>
      </c>
      <c r="G7" s="5">
        <f t="shared" si="0"/>
        <v>200</v>
      </c>
      <c r="H7" s="6">
        <f t="shared" si="1"/>
        <v>6.3492063492063492E-4</v>
      </c>
      <c r="I7" s="5">
        <f>'Ist-Werte'!E7-Budgetplanung!E7</f>
        <v>-700</v>
      </c>
      <c r="J7" s="5">
        <f>'Ist-Werte'!F7-Budgetplanung!F7</f>
        <v>400</v>
      </c>
      <c r="K7" s="5">
        <f>'Ist-Werte'!G7-Budgetplanung!G7</f>
        <v>-200</v>
      </c>
      <c r="L7" s="5">
        <f>'Ist-Werte'!H7-Budgetplanung!H7</f>
        <v>900</v>
      </c>
      <c r="M7" s="5">
        <f>'Ist-Werte'!I7-Budgetplanung!I7</f>
        <v>-700</v>
      </c>
      <c r="N7" s="5">
        <f>'Ist-Werte'!J7-Budgetplanung!J7</f>
        <v>300</v>
      </c>
      <c r="O7" s="5">
        <f>'Ist-Werte'!K7-Budgetplanung!K7</f>
        <v>800</v>
      </c>
      <c r="P7" s="5">
        <f>'Ist-Werte'!L7-Budgetplanung!L7</f>
        <v>-600</v>
      </c>
      <c r="Q7" s="5">
        <f>'Ist-Werte'!M7-Budgetplanung!M7</f>
        <v>0</v>
      </c>
      <c r="R7" s="5">
        <f>'Ist-Werte'!N7-Budgetplanung!N7</f>
        <v>0</v>
      </c>
      <c r="S7" s="5">
        <f>'Ist-Werte'!O7-Budgetplanung!O7</f>
        <v>0</v>
      </c>
      <c r="T7">
        <f>'Ist-Werte'!P7-Budgetplanung!P7</f>
        <v>0</v>
      </c>
      <c r="U7" t="str">
        <f t="shared" si="2"/>
        <v>Im Rahmen</v>
      </c>
    </row>
    <row r="8" spans="1:26" x14ac:dyDescent="0.25">
      <c r="A8" t="str">
        <f>Budgetplanung!A8</f>
        <v>E-003</v>
      </c>
      <c r="B8" t="str">
        <f>Budgetplanung!B8</f>
        <v>Service</v>
      </c>
      <c r="C8" t="str">
        <f>Budgetplanung!C8</f>
        <v>Wartungsverträge</v>
      </c>
      <c r="D8" t="str">
        <f>Budgetplanung!D8</f>
        <v>Einnahme</v>
      </c>
      <c r="E8" s="5">
        <f>Budgetplanung!Q8</f>
        <v>159000</v>
      </c>
      <c r="F8" s="5">
        <f>'Ist-Werte'!Q8</f>
        <v>158900</v>
      </c>
      <c r="G8" s="5">
        <f t="shared" si="0"/>
        <v>-100</v>
      </c>
      <c r="H8" s="6">
        <f t="shared" si="1"/>
        <v>-6.2893081761006286E-4</v>
      </c>
      <c r="I8" s="5">
        <f>'Ist-Werte'!E8-Budgetplanung!E8</f>
        <v>-500</v>
      </c>
      <c r="J8" s="5">
        <f>'Ist-Werte'!F8-Budgetplanung!F8</f>
        <v>200</v>
      </c>
      <c r="K8" s="5">
        <f>'Ist-Werte'!G8-Budgetplanung!G8</f>
        <v>-100</v>
      </c>
      <c r="L8" s="5">
        <f>'Ist-Werte'!H8-Budgetplanung!H8</f>
        <v>500</v>
      </c>
      <c r="M8" s="5">
        <f>'Ist-Werte'!I8-Budgetplanung!I8</f>
        <v>-400</v>
      </c>
      <c r="N8" s="5">
        <f>'Ist-Werte'!J8-Budgetplanung!J8</f>
        <v>100</v>
      </c>
      <c r="O8" s="5">
        <f>'Ist-Werte'!K8-Budgetplanung!K8</f>
        <v>400</v>
      </c>
      <c r="P8" s="5">
        <f>'Ist-Werte'!L8-Budgetplanung!L8</f>
        <v>-300</v>
      </c>
      <c r="Q8" s="5">
        <f>'Ist-Werte'!M8-Budgetplanung!M8</f>
        <v>0</v>
      </c>
      <c r="R8" s="5">
        <f>'Ist-Werte'!N8-Budgetplanung!N8</f>
        <v>0</v>
      </c>
      <c r="S8" s="5">
        <f>'Ist-Werte'!O8-Budgetplanung!O8</f>
        <v>0</v>
      </c>
      <c r="T8">
        <f>'Ist-Werte'!P8-Budgetplanung!P8</f>
        <v>0</v>
      </c>
      <c r="U8" t="str">
        <f t="shared" si="2"/>
        <v>Im Rahmen</v>
      </c>
    </row>
    <row r="9" spans="1:26" x14ac:dyDescent="0.25">
      <c r="A9" t="str">
        <f>Budgetplanung!A9</f>
        <v>E-004</v>
      </c>
      <c r="B9" t="str">
        <f>Budgetplanung!B9</f>
        <v>Geschäftsführung</v>
      </c>
      <c r="C9" t="str">
        <f>Budgetplanung!C9</f>
        <v>Sonstige betriebliche Erträge</v>
      </c>
      <c r="D9" t="str">
        <f>Budgetplanung!D9</f>
        <v>Einnahme</v>
      </c>
      <c r="E9" s="5">
        <f>Budgetplanung!Q9</f>
        <v>24300</v>
      </c>
      <c r="F9" s="5">
        <f>'Ist-Werte'!Q9</f>
        <v>24300</v>
      </c>
      <c r="G9" s="5">
        <f t="shared" si="0"/>
        <v>0</v>
      </c>
      <c r="H9" s="6">
        <f t="shared" si="1"/>
        <v>0</v>
      </c>
      <c r="I9" s="5">
        <f>'Ist-Werte'!E9-Budgetplanung!E9</f>
        <v>-100</v>
      </c>
      <c r="J9" s="5">
        <f>'Ist-Werte'!F9-Budgetplanung!F9</f>
        <v>0</v>
      </c>
      <c r="K9" s="5">
        <f>'Ist-Werte'!G9-Budgetplanung!G9</f>
        <v>0</v>
      </c>
      <c r="L9" s="5">
        <f>'Ist-Werte'!H9-Budgetplanung!H9</f>
        <v>100</v>
      </c>
      <c r="M9" s="5">
        <f>'Ist-Werte'!I9-Budgetplanung!I9</f>
        <v>-100</v>
      </c>
      <c r="N9" s="5">
        <f>'Ist-Werte'!J9-Budgetplanung!J9</f>
        <v>0</v>
      </c>
      <c r="O9" s="5">
        <f>'Ist-Werte'!K9-Budgetplanung!K9</f>
        <v>100</v>
      </c>
      <c r="P9" s="5">
        <f>'Ist-Werte'!L9-Budgetplanung!L9</f>
        <v>0</v>
      </c>
      <c r="Q9" s="5">
        <f>'Ist-Werte'!M9-Budgetplanung!M9</f>
        <v>0</v>
      </c>
      <c r="R9" s="5">
        <f>'Ist-Werte'!N9-Budgetplanung!N9</f>
        <v>0</v>
      </c>
      <c r="S9" s="5">
        <f>'Ist-Werte'!O9-Budgetplanung!O9</f>
        <v>0</v>
      </c>
      <c r="T9">
        <f>'Ist-Werte'!P9-Budgetplanung!P9</f>
        <v>0</v>
      </c>
      <c r="U9" t="str">
        <f t="shared" si="2"/>
        <v>Im Rahmen</v>
      </c>
    </row>
    <row r="10" spans="1:26" x14ac:dyDescent="0.25">
      <c r="A10" t="str">
        <f>Budgetplanung!A10</f>
        <v>K-001</v>
      </c>
      <c r="B10" t="str">
        <f>Budgetplanung!B10</f>
        <v>Produktion</v>
      </c>
      <c r="C10" t="str">
        <f>Budgetplanung!C10</f>
        <v>Materialeinsatz</v>
      </c>
      <c r="D10" t="str">
        <f>Budgetplanung!D10</f>
        <v>Variable Kosten</v>
      </c>
      <c r="E10" s="5">
        <f>Budgetplanung!Q10</f>
        <v>335500</v>
      </c>
      <c r="F10" s="5">
        <f>'Ist-Werte'!Q10</f>
        <v>339600</v>
      </c>
      <c r="G10" s="5">
        <f t="shared" si="0"/>
        <v>4100</v>
      </c>
      <c r="H10" s="6">
        <f t="shared" si="1"/>
        <v>1.2220566318926976E-2</v>
      </c>
      <c r="I10" s="5">
        <f>'Ist-Werte'!E10-Budgetplanung!E10</f>
        <v>600</v>
      </c>
      <c r="J10" s="5">
        <f>'Ist-Werte'!F10-Budgetplanung!F10</f>
        <v>-400</v>
      </c>
      <c r="K10" s="5">
        <f>'Ist-Werte'!G10-Budgetplanung!G10</f>
        <v>1200</v>
      </c>
      <c r="L10" s="5">
        <f>'Ist-Werte'!H10-Budgetplanung!H10</f>
        <v>500</v>
      </c>
      <c r="M10" s="5">
        <f>'Ist-Werte'!I10-Budgetplanung!I10</f>
        <v>1600</v>
      </c>
      <c r="N10" s="5">
        <f>'Ist-Werte'!J10-Budgetplanung!J10</f>
        <v>-800</v>
      </c>
      <c r="O10" s="5">
        <f>'Ist-Werte'!K10-Budgetplanung!K10</f>
        <v>1100</v>
      </c>
      <c r="P10" s="5">
        <f>'Ist-Werte'!L10-Budgetplanung!L10</f>
        <v>300</v>
      </c>
      <c r="Q10" s="5">
        <f>'Ist-Werte'!M10-Budgetplanung!M10</f>
        <v>0</v>
      </c>
      <c r="R10" s="5">
        <f>'Ist-Werte'!N10-Budgetplanung!N10</f>
        <v>0</v>
      </c>
      <c r="S10" s="5">
        <f>'Ist-Werte'!O10-Budgetplanung!O10</f>
        <v>0</v>
      </c>
      <c r="T10">
        <f>'Ist-Werte'!P10-Budgetplanung!P10</f>
        <v>0</v>
      </c>
      <c r="U10" t="str">
        <f t="shared" si="2"/>
        <v>Im Rahmen</v>
      </c>
    </row>
    <row r="11" spans="1:26" x14ac:dyDescent="0.25">
      <c r="A11" t="str">
        <f>Budgetplanung!A11</f>
        <v>K-002</v>
      </c>
      <c r="B11" t="str">
        <f>Budgetplanung!B11</f>
        <v>Produktion</v>
      </c>
      <c r="C11" t="str">
        <f>Budgetplanung!C11</f>
        <v>Fremdleistungen Fertigung</v>
      </c>
      <c r="D11" t="str">
        <f>Budgetplanung!D11</f>
        <v>Variable Kosten</v>
      </c>
      <c r="E11" s="5">
        <f>Budgetplanung!Q11</f>
        <v>100400</v>
      </c>
      <c r="F11" s="5">
        <f>'Ist-Werte'!Q11</f>
        <v>101800</v>
      </c>
      <c r="G11" s="5">
        <f t="shared" si="0"/>
        <v>1400</v>
      </c>
      <c r="H11" s="6">
        <f t="shared" si="1"/>
        <v>1.3944223107569721E-2</v>
      </c>
      <c r="I11" s="5">
        <f>'Ist-Werte'!E11-Budgetplanung!E11</f>
        <v>200</v>
      </c>
      <c r="J11" s="5">
        <f>'Ist-Werte'!F11-Budgetplanung!F11</f>
        <v>-100</v>
      </c>
      <c r="K11" s="5">
        <f>'Ist-Werte'!G11-Budgetplanung!G11</f>
        <v>400</v>
      </c>
      <c r="L11" s="5">
        <f>'Ist-Werte'!H11-Budgetplanung!H11</f>
        <v>200</v>
      </c>
      <c r="M11" s="5">
        <f>'Ist-Werte'!I11-Budgetplanung!I11</f>
        <v>500</v>
      </c>
      <c r="N11" s="5">
        <f>'Ist-Werte'!J11-Budgetplanung!J11</f>
        <v>-200</v>
      </c>
      <c r="O11" s="5">
        <f>'Ist-Werte'!K11-Budgetplanung!K11</f>
        <v>300</v>
      </c>
      <c r="P11" s="5">
        <f>'Ist-Werte'!L11-Budgetplanung!L11</f>
        <v>100</v>
      </c>
      <c r="Q11" s="5">
        <f>'Ist-Werte'!M11-Budgetplanung!M11</f>
        <v>0</v>
      </c>
      <c r="R11" s="5">
        <f>'Ist-Werte'!N11-Budgetplanung!N11</f>
        <v>0</v>
      </c>
      <c r="S11" s="5">
        <f>'Ist-Werte'!O11-Budgetplanung!O11</f>
        <v>0</v>
      </c>
      <c r="T11">
        <f>'Ist-Werte'!P11-Budgetplanung!P11</f>
        <v>0</v>
      </c>
      <c r="U11" t="str">
        <f t="shared" si="2"/>
        <v>Im Rahmen</v>
      </c>
    </row>
    <row r="12" spans="1:26" x14ac:dyDescent="0.25">
      <c r="A12" t="str">
        <f>Budgetplanung!A12</f>
        <v>K-003</v>
      </c>
      <c r="B12" t="str">
        <f>Budgetplanung!B12</f>
        <v>Logistik</v>
      </c>
      <c r="C12" t="str">
        <f>Budgetplanung!C12</f>
        <v>Versand und Verpackung</v>
      </c>
      <c r="D12" t="str">
        <f>Budgetplanung!D12</f>
        <v>Variable Kosten</v>
      </c>
      <c r="E12" s="5">
        <f>Budgetplanung!Q12</f>
        <v>62100</v>
      </c>
      <c r="F12" s="5">
        <f>'Ist-Werte'!Q12</f>
        <v>62800</v>
      </c>
      <c r="G12" s="5">
        <f t="shared" si="0"/>
        <v>700</v>
      </c>
      <c r="H12" s="6">
        <f t="shared" si="1"/>
        <v>1.1272141706924315E-2</v>
      </c>
      <c r="I12" s="5">
        <f>'Ist-Werte'!E12-Budgetplanung!E12</f>
        <v>100</v>
      </c>
      <c r="J12" s="5">
        <f>'Ist-Werte'!F12-Budgetplanung!F12</f>
        <v>-100</v>
      </c>
      <c r="K12" s="5">
        <f>'Ist-Werte'!G12-Budgetplanung!G12</f>
        <v>200</v>
      </c>
      <c r="L12" s="5">
        <f>'Ist-Werte'!H12-Budgetplanung!H12</f>
        <v>100</v>
      </c>
      <c r="M12" s="5">
        <f>'Ist-Werte'!I12-Budgetplanung!I12</f>
        <v>300</v>
      </c>
      <c r="N12" s="5">
        <f>'Ist-Werte'!J12-Budgetplanung!J12</f>
        <v>-200</v>
      </c>
      <c r="O12" s="5">
        <f>'Ist-Werte'!K12-Budgetplanung!K12</f>
        <v>200</v>
      </c>
      <c r="P12" s="5">
        <f>'Ist-Werte'!L12-Budgetplanung!L12</f>
        <v>100</v>
      </c>
      <c r="Q12" s="5">
        <f>'Ist-Werte'!M12-Budgetplanung!M12</f>
        <v>0</v>
      </c>
      <c r="R12" s="5">
        <f>'Ist-Werte'!N12-Budgetplanung!N12</f>
        <v>0</v>
      </c>
      <c r="S12" s="5">
        <f>'Ist-Werte'!O12-Budgetplanung!O12</f>
        <v>0</v>
      </c>
      <c r="T12">
        <f>'Ist-Werte'!P12-Budgetplanung!P12</f>
        <v>0</v>
      </c>
      <c r="U12" t="str">
        <f t="shared" si="2"/>
        <v>Im Rahmen</v>
      </c>
    </row>
    <row r="13" spans="1:26" x14ac:dyDescent="0.25">
      <c r="A13" t="str">
        <f>Budgetplanung!A13</f>
        <v>K-004</v>
      </c>
      <c r="B13" t="str">
        <f>Budgetplanung!B13</f>
        <v>Personal</v>
      </c>
      <c r="C13" t="str">
        <f>Budgetplanung!C13</f>
        <v>Löhne und Gehälter</v>
      </c>
      <c r="D13" t="str">
        <f>Budgetplanung!D13</f>
        <v>Personal</v>
      </c>
      <c r="E13" s="5">
        <f>Budgetplanung!Q13</f>
        <v>478200</v>
      </c>
      <c r="F13" s="5">
        <f>'Ist-Werte'!Q13</f>
        <v>484500</v>
      </c>
      <c r="G13" s="5">
        <f t="shared" si="0"/>
        <v>6300</v>
      </c>
      <c r="H13" s="6">
        <f t="shared" si="1"/>
        <v>1.3174404015056462E-2</v>
      </c>
      <c r="I13" s="5">
        <f>'Ist-Werte'!E13-Budgetplanung!E13</f>
        <v>1200</v>
      </c>
      <c r="J13" s="5">
        <f>'Ist-Werte'!F13-Budgetplanung!F13</f>
        <v>-800</v>
      </c>
      <c r="K13" s="5">
        <f>'Ist-Werte'!G13-Budgetplanung!G13</f>
        <v>1900</v>
      </c>
      <c r="L13" s="5">
        <f>'Ist-Werte'!H13-Budgetplanung!H13</f>
        <v>800</v>
      </c>
      <c r="M13" s="5">
        <f>'Ist-Werte'!I13-Budgetplanung!I13</f>
        <v>2400</v>
      </c>
      <c r="N13" s="5">
        <f>'Ist-Werte'!J13-Budgetplanung!J13</f>
        <v>-1200</v>
      </c>
      <c r="O13" s="5">
        <f>'Ist-Werte'!K13-Budgetplanung!K13</f>
        <v>1600</v>
      </c>
      <c r="P13" s="5">
        <f>'Ist-Werte'!L13-Budgetplanung!L13</f>
        <v>400</v>
      </c>
      <c r="Q13" s="5">
        <f>'Ist-Werte'!M13-Budgetplanung!M13</f>
        <v>0</v>
      </c>
      <c r="R13" s="5">
        <f>'Ist-Werte'!N13-Budgetplanung!N13</f>
        <v>0</v>
      </c>
      <c r="S13" s="5">
        <f>'Ist-Werte'!O13-Budgetplanung!O13</f>
        <v>0</v>
      </c>
      <c r="T13">
        <f>'Ist-Werte'!P13-Budgetplanung!P13</f>
        <v>0</v>
      </c>
      <c r="U13" t="str">
        <f t="shared" si="2"/>
        <v>Im Rahmen</v>
      </c>
    </row>
    <row r="14" spans="1:26" x14ac:dyDescent="0.25">
      <c r="A14" t="str">
        <f>Budgetplanung!A14</f>
        <v>K-005</v>
      </c>
      <c r="B14" t="str">
        <f>Budgetplanung!B14</f>
        <v>Personal</v>
      </c>
      <c r="C14" t="str">
        <f>Budgetplanung!C14</f>
        <v>Weiterbildung und Recruiting</v>
      </c>
      <c r="D14" t="str">
        <f>Budgetplanung!D14</f>
        <v>Personal</v>
      </c>
      <c r="E14" s="5">
        <f>Budgetplanung!Q14</f>
        <v>24100</v>
      </c>
      <c r="F14" s="5">
        <f>'Ist-Werte'!Q14</f>
        <v>24400</v>
      </c>
      <c r="G14" s="5">
        <f t="shared" si="0"/>
        <v>300</v>
      </c>
      <c r="H14" s="6">
        <f t="shared" si="1"/>
        <v>1.2448132780082987E-2</v>
      </c>
      <c r="I14" s="5">
        <f>'Ist-Werte'!E14-Budgetplanung!E14</f>
        <v>100</v>
      </c>
      <c r="J14" s="5">
        <f>'Ist-Werte'!F14-Budgetplanung!F14</f>
        <v>0</v>
      </c>
      <c r="K14" s="5">
        <f>'Ist-Werte'!G14-Budgetplanung!G14</f>
        <v>100</v>
      </c>
      <c r="L14" s="5">
        <f>'Ist-Werte'!H14-Budgetplanung!H14</f>
        <v>0</v>
      </c>
      <c r="M14" s="5">
        <f>'Ist-Werte'!I14-Budgetplanung!I14</f>
        <v>100</v>
      </c>
      <c r="N14" s="5">
        <f>'Ist-Werte'!J14-Budgetplanung!J14</f>
        <v>-100</v>
      </c>
      <c r="O14" s="5">
        <f>'Ist-Werte'!K14-Budgetplanung!K14</f>
        <v>100</v>
      </c>
      <c r="P14" s="5">
        <f>'Ist-Werte'!L14-Budgetplanung!L14</f>
        <v>0</v>
      </c>
      <c r="Q14" s="5">
        <f>'Ist-Werte'!M14-Budgetplanung!M14</f>
        <v>0</v>
      </c>
      <c r="R14" s="5">
        <f>'Ist-Werte'!N14-Budgetplanung!N14</f>
        <v>0</v>
      </c>
      <c r="S14" s="5">
        <f>'Ist-Werte'!O14-Budgetplanung!O14</f>
        <v>0</v>
      </c>
      <c r="T14">
        <f>'Ist-Werte'!P14-Budgetplanung!P14</f>
        <v>0</v>
      </c>
      <c r="U14" t="str">
        <f t="shared" si="2"/>
        <v>Im Rahmen</v>
      </c>
    </row>
    <row r="15" spans="1:26" x14ac:dyDescent="0.25">
      <c r="A15" t="str">
        <f>Budgetplanung!A15</f>
        <v>K-006</v>
      </c>
      <c r="B15" t="str">
        <f>Budgetplanung!B15</f>
        <v>Marketing</v>
      </c>
      <c r="C15" t="str">
        <f>Budgetplanung!C15</f>
        <v>Online-Marketing</v>
      </c>
      <c r="D15" t="str">
        <f>Budgetplanung!D15</f>
        <v>Fixkosten</v>
      </c>
      <c r="E15" s="5">
        <f>Budgetplanung!Q15</f>
        <v>113100</v>
      </c>
      <c r="F15" s="5">
        <f>'Ist-Werte'!Q15</f>
        <v>114400</v>
      </c>
      <c r="G15" s="5">
        <f t="shared" si="0"/>
        <v>1300</v>
      </c>
      <c r="H15" s="6">
        <f t="shared" si="1"/>
        <v>1.1494252873563218E-2</v>
      </c>
      <c r="I15" s="5">
        <f>'Ist-Werte'!E15-Budgetplanung!E15</f>
        <v>200</v>
      </c>
      <c r="J15" s="5">
        <f>'Ist-Werte'!F15-Budgetplanung!F15</f>
        <v>-200</v>
      </c>
      <c r="K15" s="5">
        <f>'Ist-Werte'!G15-Budgetplanung!G15</f>
        <v>400</v>
      </c>
      <c r="L15" s="5">
        <f>'Ist-Werte'!H15-Budgetplanung!H15</f>
        <v>200</v>
      </c>
      <c r="M15" s="5">
        <f>'Ist-Werte'!I15-Budgetplanung!I15</f>
        <v>500</v>
      </c>
      <c r="N15" s="5">
        <f>'Ist-Werte'!J15-Budgetplanung!J15</f>
        <v>-300</v>
      </c>
      <c r="O15" s="5">
        <f>'Ist-Werte'!K15-Budgetplanung!K15</f>
        <v>400</v>
      </c>
      <c r="P15" s="5">
        <f>'Ist-Werte'!L15-Budgetplanung!L15</f>
        <v>100</v>
      </c>
      <c r="Q15" s="5">
        <f>'Ist-Werte'!M15-Budgetplanung!M15</f>
        <v>0</v>
      </c>
      <c r="R15" s="5">
        <f>'Ist-Werte'!N15-Budgetplanung!N15</f>
        <v>0</v>
      </c>
      <c r="S15" s="5">
        <f>'Ist-Werte'!O15-Budgetplanung!O15</f>
        <v>0</v>
      </c>
      <c r="T15">
        <f>'Ist-Werte'!P15-Budgetplanung!P15</f>
        <v>0</v>
      </c>
      <c r="U15" t="str">
        <f t="shared" si="2"/>
        <v>Im Rahmen</v>
      </c>
    </row>
    <row r="16" spans="1:26" x14ac:dyDescent="0.25">
      <c r="A16" t="str">
        <f>Budgetplanung!A16</f>
        <v>K-007</v>
      </c>
      <c r="B16" t="str">
        <f>Budgetplanung!B16</f>
        <v>Marketing</v>
      </c>
      <c r="C16" t="str">
        <f>Budgetplanung!C16</f>
        <v>Messen und Veranstaltungen</v>
      </c>
      <c r="D16" t="str">
        <f>Budgetplanung!D16</f>
        <v>Fixkosten</v>
      </c>
      <c r="E16" s="5">
        <f>Budgetplanung!Q16</f>
        <v>34100</v>
      </c>
      <c r="F16" s="5">
        <f>'Ist-Werte'!Q16</f>
        <v>34200</v>
      </c>
      <c r="G16" s="5">
        <f t="shared" si="0"/>
        <v>100</v>
      </c>
      <c r="H16" s="6">
        <f t="shared" si="1"/>
        <v>2.9325513196480938E-3</v>
      </c>
      <c r="I16" s="5">
        <f>'Ist-Werte'!E16-Budgetplanung!E16</f>
        <v>0</v>
      </c>
      <c r="J16" s="5">
        <f>'Ist-Werte'!F16-Budgetplanung!F16</f>
        <v>-100</v>
      </c>
      <c r="K16" s="5">
        <f>'Ist-Werte'!G16-Budgetplanung!G16</f>
        <v>0</v>
      </c>
      <c r="L16" s="5">
        <f>'Ist-Werte'!H16-Budgetplanung!H16</f>
        <v>200</v>
      </c>
      <c r="M16" s="5">
        <f>'Ist-Werte'!I16-Budgetplanung!I16</f>
        <v>0</v>
      </c>
      <c r="N16" s="5">
        <f>'Ist-Werte'!J16-Budgetplanung!J16</f>
        <v>-100</v>
      </c>
      <c r="O16" s="5">
        <f>'Ist-Werte'!K16-Budgetplanung!K16</f>
        <v>0</v>
      </c>
      <c r="P16" s="5">
        <f>'Ist-Werte'!L16-Budgetplanung!L16</f>
        <v>100</v>
      </c>
      <c r="Q16" s="5">
        <f>'Ist-Werte'!M16-Budgetplanung!M16</f>
        <v>0</v>
      </c>
      <c r="R16" s="5">
        <f>'Ist-Werte'!N16-Budgetplanung!N16</f>
        <v>0</v>
      </c>
      <c r="S16" s="5">
        <f>'Ist-Werte'!O16-Budgetplanung!O16</f>
        <v>0</v>
      </c>
      <c r="T16">
        <f>'Ist-Werte'!P16-Budgetplanung!P16</f>
        <v>0</v>
      </c>
      <c r="U16" t="str">
        <f t="shared" si="2"/>
        <v>Im Rahmen</v>
      </c>
    </row>
    <row r="17" spans="1:21" x14ac:dyDescent="0.25">
      <c r="A17" t="str">
        <f>Budgetplanung!A17</f>
        <v>K-008</v>
      </c>
      <c r="B17" t="str">
        <f>Budgetplanung!B17</f>
        <v>IT</v>
      </c>
      <c r="C17" t="str">
        <f>Budgetplanung!C17</f>
        <v>Software und Cloud</v>
      </c>
      <c r="D17" t="str">
        <f>Budgetplanung!D17</f>
        <v>Fixkosten</v>
      </c>
      <c r="E17" s="5">
        <f>Budgetplanung!Q17</f>
        <v>66200</v>
      </c>
      <c r="F17" s="5">
        <f>'Ist-Werte'!Q17</f>
        <v>67100</v>
      </c>
      <c r="G17" s="5">
        <f t="shared" si="0"/>
        <v>900</v>
      </c>
      <c r="H17" s="6">
        <f t="shared" si="1"/>
        <v>1.3595166163141994E-2</v>
      </c>
      <c r="I17" s="5">
        <f>'Ist-Werte'!E17-Budgetplanung!E17</f>
        <v>200</v>
      </c>
      <c r="J17" s="5">
        <f>'Ist-Werte'!F17-Budgetplanung!F17</f>
        <v>-100</v>
      </c>
      <c r="K17" s="5">
        <f>'Ist-Werte'!G17-Budgetplanung!G17</f>
        <v>300</v>
      </c>
      <c r="L17" s="5">
        <f>'Ist-Werte'!H17-Budgetplanung!H17</f>
        <v>100</v>
      </c>
      <c r="M17" s="5">
        <f>'Ist-Werte'!I17-Budgetplanung!I17</f>
        <v>300</v>
      </c>
      <c r="N17" s="5">
        <f>'Ist-Werte'!J17-Budgetplanung!J17</f>
        <v>-200</v>
      </c>
      <c r="O17" s="5">
        <f>'Ist-Werte'!K17-Budgetplanung!K17</f>
        <v>200</v>
      </c>
      <c r="P17" s="5">
        <f>'Ist-Werte'!L17-Budgetplanung!L17</f>
        <v>100</v>
      </c>
      <c r="Q17" s="5">
        <f>'Ist-Werte'!M17-Budgetplanung!M17</f>
        <v>0</v>
      </c>
      <c r="R17" s="5">
        <f>'Ist-Werte'!N17-Budgetplanung!N17</f>
        <v>0</v>
      </c>
      <c r="S17" s="5">
        <f>'Ist-Werte'!O17-Budgetplanung!O17</f>
        <v>0</v>
      </c>
      <c r="T17">
        <f>'Ist-Werte'!P17-Budgetplanung!P17</f>
        <v>0</v>
      </c>
      <c r="U17" t="str">
        <f t="shared" si="2"/>
        <v>Im Rahmen</v>
      </c>
    </row>
    <row r="18" spans="1:21" x14ac:dyDescent="0.25">
      <c r="A18" t="str">
        <f>Budgetplanung!A18</f>
        <v>K-009</v>
      </c>
      <c r="B18" t="str">
        <f>Budgetplanung!B18</f>
        <v>Verwaltung</v>
      </c>
      <c r="C18" t="str">
        <f>Budgetplanung!C18</f>
        <v>Miete und Nebenkosten</v>
      </c>
      <c r="D18" t="str">
        <f>Budgetplanung!D18</f>
        <v>Fixkosten</v>
      </c>
      <c r="E18" s="5">
        <f>Budgetplanung!Q18</f>
        <v>121200</v>
      </c>
      <c r="F18" s="5">
        <f>'Ist-Werte'!Q18</f>
        <v>122800</v>
      </c>
      <c r="G18" s="5">
        <f t="shared" si="0"/>
        <v>1600</v>
      </c>
      <c r="H18" s="6">
        <f t="shared" si="1"/>
        <v>1.3201320132013201E-2</v>
      </c>
      <c r="I18" s="5">
        <f>'Ist-Werte'!E18-Budgetplanung!E18</f>
        <v>300</v>
      </c>
      <c r="J18" s="5">
        <f>'Ist-Werte'!F18-Budgetplanung!F18</f>
        <v>-200</v>
      </c>
      <c r="K18" s="5">
        <f>'Ist-Werte'!G18-Budgetplanung!G18</f>
        <v>500</v>
      </c>
      <c r="L18" s="5">
        <f>'Ist-Werte'!H18-Budgetplanung!H18</f>
        <v>200</v>
      </c>
      <c r="M18" s="5">
        <f>'Ist-Werte'!I18-Budgetplanung!I18</f>
        <v>600</v>
      </c>
      <c r="N18" s="5">
        <f>'Ist-Werte'!J18-Budgetplanung!J18</f>
        <v>-300</v>
      </c>
      <c r="O18" s="5">
        <f>'Ist-Werte'!K18-Budgetplanung!K18</f>
        <v>400</v>
      </c>
      <c r="P18" s="5">
        <f>'Ist-Werte'!L18-Budgetplanung!L18</f>
        <v>100</v>
      </c>
      <c r="Q18" s="5">
        <f>'Ist-Werte'!M18-Budgetplanung!M18</f>
        <v>0</v>
      </c>
      <c r="R18" s="5">
        <f>'Ist-Werte'!N18-Budgetplanung!N18</f>
        <v>0</v>
      </c>
      <c r="S18" s="5">
        <f>'Ist-Werte'!O18-Budgetplanung!O18</f>
        <v>0</v>
      </c>
      <c r="T18">
        <f>'Ist-Werte'!P18-Budgetplanung!P18</f>
        <v>0</v>
      </c>
      <c r="U18" t="str">
        <f t="shared" si="2"/>
        <v>Im Rahmen</v>
      </c>
    </row>
    <row r="19" spans="1:21" x14ac:dyDescent="0.25">
      <c r="A19" t="str">
        <f>Budgetplanung!A19</f>
        <v>K-010</v>
      </c>
      <c r="B19" t="str">
        <f>Budgetplanung!B19</f>
        <v>Verwaltung</v>
      </c>
      <c r="C19" t="str">
        <f>Budgetplanung!C19</f>
        <v>Versicherungen und Beiträge</v>
      </c>
      <c r="D19" t="str">
        <f>Budgetplanung!D19</f>
        <v>Fixkosten</v>
      </c>
      <c r="E19" s="5">
        <f>Budgetplanung!Q19</f>
        <v>17400</v>
      </c>
      <c r="F19" s="5">
        <f>'Ist-Werte'!Q19</f>
        <v>17800</v>
      </c>
      <c r="G19" s="5">
        <f t="shared" si="0"/>
        <v>400</v>
      </c>
      <c r="H19" s="6">
        <f t="shared" si="1"/>
        <v>2.2988505747126436E-2</v>
      </c>
      <c r="I19" s="5">
        <f>'Ist-Werte'!E19-Budgetplanung!E19</f>
        <v>100</v>
      </c>
      <c r="J19" s="5">
        <f>'Ist-Werte'!F19-Budgetplanung!F19</f>
        <v>0</v>
      </c>
      <c r="K19" s="5">
        <f>'Ist-Werte'!G19-Budgetplanung!G19</f>
        <v>0</v>
      </c>
      <c r="L19" s="5">
        <f>'Ist-Werte'!H19-Budgetplanung!H19</f>
        <v>0</v>
      </c>
      <c r="M19" s="5">
        <f>'Ist-Werte'!I19-Budgetplanung!I19</f>
        <v>100</v>
      </c>
      <c r="N19" s="5">
        <f>'Ist-Werte'!J19-Budgetplanung!J19</f>
        <v>0</v>
      </c>
      <c r="O19" s="5">
        <f>'Ist-Werte'!K19-Budgetplanung!K19</f>
        <v>200</v>
      </c>
      <c r="P19" s="5">
        <f>'Ist-Werte'!L19-Budgetplanung!L19</f>
        <v>0</v>
      </c>
      <c r="Q19" s="5">
        <f>'Ist-Werte'!M19-Budgetplanung!M19</f>
        <v>0</v>
      </c>
      <c r="R19" s="5">
        <f>'Ist-Werte'!N19-Budgetplanung!N19</f>
        <v>0</v>
      </c>
      <c r="S19" s="5">
        <f>'Ist-Werte'!O19-Budgetplanung!O19</f>
        <v>0</v>
      </c>
      <c r="T19">
        <f>'Ist-Werte'!P19-Budgetplanung!P19</f>
        <v>0</v>
      </c>
      <c r="U19" t="str">
        <f t="shared" si="2"/>
        <v>Im Rahmen</v>
      </c>
    </row>
    <row r="20" spans="1:21" x14ac:dyDescent="0.25">
      <c r="A20" t="str">
        <f>Budgetplanung!A20</f>
        <v>K-011</v>
      </c>
      <c r="B20" t="str">
        <f>Budgetplanung!B20</f>
        <v>Finanzen</v>
      </c>
      <c r="C20" t="str">
        <f>Budgetplanung!C20</f>
        <v>Zinsen und Bankgebühren</v>
      </c>
      <c r="D20" t="str">
        <f>Budgetplanung!D20</f>
        <v>Finanzierung</v>
      </c>
      <c r="E20" s="5">
        <f>Budgetplanung!Q20</f>
        <v>17700</v>
      </c>
      <c r="F20" s="5">
        <f>'Ist-Werte'!Q20</f>
        <v>18100</v>
      </c>
      <c r="G20" s="5">
        <f t="shared" si="0"/>
        <v>400</v>
      </c>
      <c r="H20" s="6">
        <f t="shared" si="1"/>
        <v>2.2598870056497175E-2</v>
      </c>
      <c r="I20" s="5">
        <f>'Ist-Werte'!E20-Budgetplanung!E20</f>
        <v>0</v>
      </c>
      <c r="J20" s="5">
        <f>'Ist-Werte'!F20-Budgetplanung!F20</f>
        <v>0</v>
      </c>
      <c r="K20" s="5">
        <f>'Ist-Werte'!G20-Budgetplanung!G20</f>
        <v>50</v>
      </c>
      <c r="L20" s="5">
        <f>'Ist-Werte'!H20-Budgetplanung!H20</f>
        <v>50</v>
      </c>
      <c r="M20" s="5">
        <f>'Ist-Werte'!I20-Budgetplanung!I20</f>
        <v>100</v>
      </c>
      <c r="N20" s="5">
        <f>'Ist-Werte'!J20-Budgetplanung!J20</f>
        <v>0</v>
      </c>
      <c r="O20" s="5">
        <f>'Ist-Werte'!K20-Budgetplanung!K20</f>
        <v>50</v>
      </c>
      <c r="P20" s="5">
        <f>'Ist-Werte'!L20-Budgetplanung!L20</f>
        <v>50</v>
      </c>
      <c r="Q20" s="5">
        <f>'Ist-Werte'!M20-Budgetplanung!M20</f>
        <v>0</v>
      </c>
      <c r="R20" s="5">
        <f>'Ist-Werte'!N20-Budgetplanung!N20</f>
        <v>0</v>
      </c>
      <c r="S20" s="5">
        <f>'Ist-Werte'!O20-Budgetplanung!O20</f>
        <v>50</v>
      </c>
      <c r="T20">
        <f>'Ist-Werte'!P20-Budgetplanung!P20</f>
        <v>50</v>
      </c>
      <c r="U20" t="str">
        <f t="shared" si="2"/>
        <v>Im Rahmen</v>
      </c>
    </row>
    <row r="21" spans="1:21" x14ac:dyDescent="0.25">
      <c r="A21" t="str">
        <f>Budgetplanung!A21</f>
        <v>K-012</v>
      </c>
      <c r="B21" t="str">
        <f>Budgetplanung!B21</f>
        <v>IT</v>
      </c>
      <c r="C21" t="str">
        <f>Budgetplanung!C21</f>
        <v>Hardware und Maschinenleasing</v>
      </c>
      <c r="D21" t="str">
        <f>Budgetplanung!D21</f>
        <v>Investition</v>
      </c>
      <c r="E21" s="5">
        <f>Budgetplanung!Q21</f>
        <v>32700</v>
      </c>
      <c r="F21" s="5">
        <f>'Ist-Werte'!Q21</f>
        <v>33000</v>
      </c>
      <c r="G21" s="5">
        <f t="shared" si="0"/>
        <v>300</v>
      </c>
      <c r="H21" s="6">
        <f t="shared" si="1"/>
        <v>9.1743119266055051E-3</v>
      </c>
      <c r="I21" s="5">
        <f>'Ist-Werte'!E21-Budgetplanung!E21</f>
        <v>300</v>
      </c>
      <c r="J21" s="5">
        <f>'Ist-Werte'!F21-Budgetplanung!F21</f>
        <v>0</v>
      </c>
      <c r="K21" s="5">
        <f>'Ist-Werte'!G21-Budgetplanung!G21</f>
        <v>100</v>
      </c>
      <c r="L21" s="5">
        <f>'Ist-Werte'!H21-Budgetplanung!H21</f>
        <v>0</v>
      </c>
      <c r="M21" s="5">
        <f>'Ist-Werte'!I21-Budgetplanung!I21</f>
        <v>100</v>
      </c>
      <c r="N21" s="5">
        <f>'Ist-Werte'!J21-Budgetplanung!J21</f>
        <v>-200</v>
      </c>
      <c r="O21" s="5">
        <f>'Ist-Werte'!K21-Budgetplanung!K21</f>
        <v>0</v>
      </c>
      <c r="P21" s="5">
        <f>'Ist-Werte'!L21-Budgetplanung!L21</f>
        <v>0</v>
      </c>
      <c r="Q21" s="5">
        <f>'Ist-Werte'!M21-Budgetplanung!M21</f>
        <v>0</v>
      </c>
      <c r="R21" s="5">
        <f>'Ist-Werte'!N21-Budgetplanung!N21</f>
        <v>0</v>
      </c>
      <c r="S21" s="5">
        <f>'Ist-Werte'!O21-Budgetplanung!O21</f>
        <v>0</v>
      </c>
      <c r="T21">
        <f>'Ist-Werte'!P21-Budgetplanung!P21</f>
        <v>0</v>
      </c>
      <c r="U21" t="str">
        <f t="shared" si="2"/>
        <v>Im Rahmen</v>
      </c>
    </row>
  </sheetData>
  <mergeCells count="1">
    <mergeCell ref="A1:S1"/>
  </mergeCells>
  <conditionalFormatting sqref="G6:G21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4"/>
  <sheetViews>
    <sheetView workbookViewId="0"/>
  </sheetViews>
  <sheetFormatPr baseColWidth="10" defaultColWidth="9" defaultRowHeight="15" x14ac:dyDescent="0.25"/>
  <cols>
    <col min="1" max="4" width="22" customWidth="1"/>
  </cols>
  <sheetData>
    <row r="1" spans="1:4" ht="18.75" x14ac:dyDescent="0.25">
      <c r="A1" s="17" t="s">
        <v>96</v>
      </c>
      <c r="B1" s="17"/>
      <c r="C1" s="17"/>
      <c r="D1" s="17"/>
    </row>
    <row r="3" spans="1:4" x14ac:dyDescent="0.25">
      <c r="A3" s="1" t="s">
        <v>10</v>
      </c>
      <c r="C3" s="1" t="s">
        <v>18</v>
      </c>
      <c r="D3" s="1" t="s">
        <v>25</v>
      </c>
    </row>
    <row r="4" spans="1:4" x14ac:dyDescent="0.25">
      <c r="A4" t="s">
        <v>11</v>
      </c>
      <c r="C4" t="s">
        <v>44</v>
      </c>
      <c r="D4" t="s">
        <v>42</v>
      </c>
    </row>
    <row r="5" spans="1:4" x14ac:dyDescent="0.25">
      <c r="A5" t="s">
        <v>97</v>
      </c>
      <c r="C5" t="s">
        <v>56</v>
      </c>
      <c r="D5" t="s">
        <v>48</v>
      </c>
    </row>
    <row r="6" spans="1:4" x14ac:dyDescent="0.25">
      <c r="A6" t="s">
        <v>98</v>
      </c>
      <c r="C6" t="s">
        <v>70</v>
      </c>
      <c r="D6" t="s">
        <v>68</v>
      </c>
    </row>
    <row r="7" spans="1:4" x14ac:dyDescent="0.25">
      <c r="A7" t="s">
        <v>99</v>
      </c>
      <c r="C7" t="s">
        <v>63</v>
      </c>
      <c r="D7" t="s">
        <v>54</v>
      </c>
    </row>
    <row r="8" spans="1:4" x14ac:dyDescent="0.25">
      <c r="C8" t="s">
        <v>87</v>
      </c>
      <c r="D8" t="s">
        <v>63</v>
      </c>
    </row>
    <row r="9" spans="1:4" x14ac:dyDescent="0.25">
      <c r="C9" t="s">
        <v>84</v>
      </c>
      <c r="D9" t="s">
        <v>74</v>
      </c>
    </row>
    <row r="10" spans="1:4" x14ac:dyDescent="0.25">
      <c r="A10" s="1" t="s">
        <v>10</v>
      </c>
      <c r="B10" s="1" t="s">
        <v>12</v>
      </c>
      <c r="D10" t="s">
        <v>77</v>
      </c>
    </row>
    <row r="11" spans="1:4" x14ac:dyDescent="0.25">
      <c r="A11" t="s">
        <v>11</v>
      </c>
      <c r="B11" s="2">
        <v>1</v>
      </c>
      <c r="D11" t="s">
        <v>82</v>
      </c>
    </row>
    <row r="12" spans="1:4" x14ac:dyDescent="0.25">
      <c r="A12" t="s">
        <v>97</v>
      </c>
      <c r="B12" s="2">
        <v>1.08</v>
      </c>
      <c r="D12" t="s">
        <v>60</v>
      </c>
    </row>
    <row r="13" spans="1:4" x14ac:dyDescent="0.25">
      <c r="A13" t="s">
        <v>98</v>
      </c>
      <c r="B13" s="2">
        <v>0.92</v>
      </c>
    </row>
    <row r="14" spans="1:4" x14ac:dyDescent="0.25">
      <c r="A14" t="s">
        <v>99</v>
      </c>
      <c r="B14" s="2">
        <v>0.82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Dashboard</vt:lpstr>
      <vt:lpstr>Budgetplanung</vt:lpstr>
      <vt:lpstr>Ist-Werte</vt:lpstr>
      <vt:lpstr>Abweichungsanalyse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2026-05-10T17:47:12Z</dcterms:modified>
</cp:coreProperties>
</file>