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2701D3B1-2979-4EFC-BDB4-A41FD9CC6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dget &amp; Ist" sheetId="2" r:id="rId2"/>
    <sheet name="Liquidität" sheetId="3" r:id="rId3"/>
    <sheet name="Annah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3" l="1"/>
  <c r="L20" i="3"/>
  <c r="K20" i="3"/>
  <c r="J20" i="3"/>
  <c r="I20" i="3"/>
  <c r="H20" i="3"/>
  <c r="G20" i="3"/>
  <c r="F20" i="3"/>
  <c r="E20" i="3"/>
  <c r="D20" i="3"/>
  <c r="C20" i="3"/>
  <c r="B20" i="3"/>
  <c r="M16" i="3"/>
  <c r="L16" i="3"/>
  <c r="L18" i="1" s="1"/>
  <c r="K16" i="3"/>
  <c r="K18" i="1" s="1"/>
  <c r="J16" i="3"/>
  <c r="I16" i="3"/>
  <c r="I18" i="1" s="1"/>
  <c r="H16" i="3"/>
  <c r="H18" i="1" s="1"/>
  <c r="G16" i="3"/>
  <c r="G18" i="1" s="1"/>
  <c r="F16" i="3"/>
  <c r="F18" i="1" s="1"/>
  <c r="E16" i="3"/>
  <c r="E18" i="1" s="1"/>
  <c r="D16" i="3"/>
  <c r="D18" i="1" s="1"/>
  <c r="C16" i="3"/>
  <c r="C18" i="1" s="1"/>
  <c r="B16" i="3"/>
  <c r="B18" i="1" s="1"/>
  <c r="M15" i="3"/>
  <c r="M16" i="1" s="1"/>
  <c r="L15" i="3"/>
  <c r="L16" i="1" s="1"/>
  <c r="K15" i="3"/>
  <c r="K16" i="1" s="1"/>
  <c r="J15" i="3"/>
  <c r="J16" i="1" s="1"/>
  <c r="I15" i="3"/>
  <c r="I16" i="1" s="1"/>
  <c r="H15" i="3"/>
  <c r="H16" i="1" s="1"/>
  <c r="G15" i="3"/>
  <c r="G16" i="1" s="1"/>
  <c r="F15" i="3"/>
  <c r="F16" i="1" s="1"/>
  <c r="E15" i="3"/>
  <c r="E16" i="1" s="1"/>
  <c r="D15" i="3"/>
  <c r="D16" i="1" s="1"/>
  <c r="C15" i="3"/>
  <c r="C16" i="1" s="1"/>
  <c r="B15" i="3"/>
  <c r="M14" i="3"/>
  <c r="L14" i="3"/>
  <c r="K14" i="3"/>
  <c r="J14" i="3"/>
  <c r="I14" i="3"/>
  <c r="H14" i="3"/>
  <c r="G14" i="3"/>
  <c r="F14" i="3"/>
  <c r="E14" i="3"/>
  <c r="D14" i="3"/>
  <c r="C14" i="3"/>
  <c r="B14" i="3"/>
  <c r="B13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M10" i="3" s="1"/>
  <c r="L7" i="3"/>
  <c r="L10" i="3" s="1"/>
  <c r="K7" i="3"/>
  <c r="K10" i="3" s="1"/>
  <c r="J7" i="3"/>
  <c r="J10" i="3" s="1"/>
  <c r="I7" i="3"/>
  <c r="I10" i="3" s="1"/>
  <c r="H7" i="3"/>
  <c r="H10" i="3" s="1"/>
  <c r="G7" i="3"/>
  <c r="G10" i="3" s="1"/>
  <c r="F7" i="3"/>
  <c r="F10" i="3" s="1"/>
  <c r="E7" i="3"/>
  <c r="E10" i="3" s="1"/>
  <c r="D7" i="3"/>
  <c r="D10" i="3" s="1"/>
  <c r="C7" i="3"/>
  <c r="C10" i="3" s="1"/>
  <c r="B7" i="3"/>
  <c r="B10" i="3" s="1"/>
  <c r="B6" i="3"/>
  <c r="B11" i="3" s="1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AI25" i="2"/>
  <c r="AH25" i="2"/>
  <c r="AJ25" i="2" s="1"/>
  <c r="AK25" i="2" s="1"/>
  <c r="AL25" i="2" s="1"/>
  <c r="AG25" i="2"/>
  <c r="AF25" i="2"/>
  <c r="AI24" i="2"/>
  <c r="AH24" i="2"/>
  <c r="AG24" i="2"/>
  <c r="AF24" i="2"/>
  <c r="AI23" i="2"/>
  <c r="AH23" i="2"/>
  <c r="AG23" i="2"/>
  <c r="AF23" i="2"/>
  <c r="AI22" i="2"/>
  <c r="AH22" i="2"/>
  <c r="AG22" i="2"/>
  <c r="AF22" i="2"/>
  <c r="AI21" i="2"/>
  <c r="AH21" i="2"/>
  <c r="AG21" i="2"/>
  <c r="AF21" i="2"/>
  <c r="AI20" i="2"/>
  <c r="AH20" i="2"/>
  <c r="AG20" i="2"/>
  <c r="AF20" i="2"/>
  <c r="AI19" i="2"/>
  <c r="AH19" i="2"/>
  <c r="AG19" i="2"/>
  <c r="AF19" i="2"/>
  <c r="AI18" i="2"/>
  <c r="AH18" i="2"/>
  <c r="AG18" i="2"/>
  <c r="AF18" i="2"/>
  <c r="AI17" i="2"/>
  <c r="AH17" i="2"/>
  <c r="AG17" i="2"/>
  <c r="AF17" i="2"/>
  <c r="AI16" i="2"/>
  <c r="AH16" i="2"/>
  <c r="AG16" i="2"/>
  <c r="AF16" i="2"/>
  <c r="AI15" i="2"/>
  <c r="AH15" i="2"/>
  <c r="AG15" i="2"/>
  <c r="AF15" i="2"/>
  <c r="AI14" i="2"/>
  <c r="AH14" i="2"/>
  <c r="AG14" i="2"/>
  <c r="AF14" i="2"/>
  <c r="AI13" i="2"/>
  <c r="AH13" i="2"/>
  <c r="AG13" i="2"/>
  <c r="AF13" i="2"/>
  <c r="AI12" i="2"/>
  <c r="AH12" i="2"/>
  <c r="AG12" i="2"/>
  <c r="AF12" i="2"/>
  <c r="AI11" i="2"/>
  <c r="AJ11" i="2" s="1"/>
  <c r="AH11" i="2"/>
  <c r="AG11" i="2"/>
  <c r="AF11" i="2"/>
  <c r="AI10" i="2"/>
  <c r="AJ10" i="2" s="1"/>
  <c r="AH10" i="2"/>
  <c r="AG10" i="2"/>
  <c r="AF10" i="2"/>
  <c r="AI9" i="2"/>
  <c r="AJ9" i="2" s="1"/>
  <c r="AH9" i="2"/>
  <c r="AK9" i="2" s="1"/>
  <c r="AL9" i="2" s="1"/>
  <c r="AG9" i="2"/>
  <c r="AF9" i="2"/>
  <c r="AI8" i="2"/>
  <c r="AJ8" i="2" s="1"/>
  <c r="AH8" i="2"/>
  <c r="AK8" i="2" s="1"/>
  <c r="AL8" i="2" s="1"/>
  <c r="AG8" i="2"/>
  <c r="AF8" i="2"/>
  <c r="C30" i="1"/>
  <c r="B30" i="1"/>
  <c r="C29" i="1"/>
  <c r="B29" i="1"/>
  <c r="C28" i="1"/>
  <c r="B28" i="1"/>
  <c r="G27" i="1"/>
  <c r="C27" i="1"/>
  <c r="B27" i="1"/>
  <c r="G26" i="1"/>
  <c r="C26" i="1"/>
  <c r="B26" i="1"/>
  <c r="G25" i="1"/>
  <c r="C25" i="1"/>
  <c r="B25" i="1"/>
  <c r="M18" i="1"/>
  <c r="J18" i="1"/>
  <c r="M17" i="1"/>
  <c r="L17" i="1"/>
  <c r="K17" i="1"/>
  <c r="J17" i="1"/>
  <c r="I17" i="1"/>
  <c r="H17" i="1"/>
  <c r="G17" i="1"/>
  <c r="F17" i="1"/>
  <c r="E17" i="1"/>
  <c r="D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3" i="1"/>
  <c r="M19" i="1" s="1"/>
  <c r="L13" i="1"/>
  <c r="L19" i="1" s="1"/>
  <c r="K13" i="1"/>
  <c r="K19" i="1" s="1"/>
  <c r="J13" i="1"/>
  <c r="I13" i="1"/>
  <c r="I19" i="1" s="1"/>
  <c r="H13" i="1"/>
  <c r="H19" i="1" s="1"/>
  <c r="G13" i="1"/>
  <c r="G19" i="1" s="1"/>
  <c r="F13" i="1"/>
  <c r="F19" i="1" s="1"/>
  <c r="E13" i="1"/>
  <c r="E19" i="1" s="1"/>
  <c r="D13" i="1"/>
  <c r="D19" i="1" s="1"/>
  <c r="C13" i="1"/>
  <c r="C19" i="1" s="1"/>
  <c r="B13" i="1"/>
  <c r="B9" i="1"/>
  <c r="B8" i="1"/>
  <c r="B7" i="1"/>
  <c r="B6" i="1"/>
  <c r="H5" i="1"/>
  <c r="F5" i="1"/>
  <c r="B5" i="1"/>
  <c r="B4" i="1"/>
  <c r="J19" i="1" l="1"/>
  <c r="B19" i="1"/>
  <c r="B16" i="1"/>
  <c r="F7" i="1"/>
  <c r="M14" i="1"/>
  <c r="M17" i="3"/>
  <c r="M20" i="1" s="1"/>
  <c r="L17" i="3"/>
  <c r="L20" i="1" s="1"/>
  <c r="L14" i="1"/>
  <c r="K17" i="3"/>
  <c r="K20" i="1" s="1"/>
  <c r="K14" i="1"/>
  <c r="J17" i="3"/>
  <c r="J20" i="1" s="1"/>
  <c r="J14" i="1"/>
  <c r="I17" i="3"/>
  <c r="I20" i="1" s="1"/>
  <c r="I14" i="1"/>
  <c r="H17" i="3"/>
  <c r="H20" i="1" s="1"/>
  <c r="H14" i="1"/>
  <c r="G17" i="3"/>
  <c r="G20" i="1" s="1"/>
  <c r="G14" i="1"/>
  <c r="F17" i="3"/>
  <c r="F20" i="1" s="1"/>
  <c r="F14" i="1"/>
  <c r="E14" i="1"/>
  <c r="E17" i="3"/>
  <c r="E20" i="1" s="1"/>
  <c r="D14" i="1"/>
  <c r="D17" i="3"/>
  <c r="D20" i="1" s="1"/>
  <c r="C14" i="1"/>
  <c r="C17" i="3"/>
  <c r="C20" i="1" s="1"/>
  <c r="B14" i="1"/>
  <c r="G5" i="1"/>
  <c r="B17" i="3"/>
  <c r="B21" i="1"/>
  <c r="C6" i="3"/>
  <c r="C11" i="3" s="1"/>
  <c r="AJ24" i="2"/>
  <c r="AK24" i="2" s="1"/>
  <c r="AL24" i="2" s="1"/>
  <c r="AJ23" i="2"/>
  <c r="AK23" i="2" s="1"/>
  <c r="AL23" i="2" s="1"/>
  <c r="AJ22" i="2"/>
  <c r="AK22" i="2" s="1"/>
  <c r="AL22" i="2" s="1"/>
  <c r="AJ21" i="2"/>
  <c r="AK21" i="2" s="1"/>
  <c r="AL21" i="2" s="1"/>
  <c r="AJ20" i="2"/>
  <c r="AK20" i="2"/>
  <c r="AL20" i="2" s="1"/>
  <c r="AJ19" i="2"/>
  <c r="AJ18" i="2"/>
  <c r="AK18" i="2" s="1"/>
  <c r="AL18" i="2" s="1"/>
  <c r="AJ17" i="2"/>
  <c r="AK17" i="2" s="1"/>
  <c r="AL17" i="2" s="1"/>
  <c r="AJ16" i="2"/>
  <c r="AK16" i="2"/>
  <c r="AL16" i="2" s="1"/>
  <c r="AJ15" i="2"/>
  <c r="AK15" i="2" s="1"/>
  <c r="AL15" i="2" s="1"/>
  <c r="AJ14" i="2"/>
  <c r="AK14" i="2" s="1"/>
  <c r="AL14" i="2" s="1"/>
  <c r="AJ13" i="2"/>
  <c r="AK13" i="2"/>
  <c r="AL13" i="2" s="1"/>
  <c r="AJ12" i="2"/>
  <c r="AK12" i="2" s="1"/>
  <c r="AL12" i="2" s="1"/>
  <c r="D30" i="1"/>
  <c r="E30" i="1" s="1"/>
  <c r="D29" i="1"/>
  <c r="E29" i="1"/>
  <c r="D28" i="1"/>
  <c r="E28" i="1" s="1"/>
  <c r="D27" i="1"/>
  <c r="E27" i="1" s="1"/>
  <c r="D26" i="1"/>
  <c r="E26" i="1" s="1"/>
  <c r="D25" i="1"/>
  <c r="E25" i="1" s="1"/>
  <c r="J25" i="1"/>
  <c r="J27" i="1"/>
  <c r="J26" i="1"/>
  <c r="I25" i="1"/>
  <c r="I27" i="1"/>
  <c r="I26" i="1"/>
  <c r="H26" i="1"/>
  <c r="K26" i="1" s="1"/>
  <c r="L26" i="1" s="1"/>
  <c r="H25" i="1"/>
  <c r="K25" i="1" s="1"/>
  <c r="L25" i="1" s="1"/>
  <c r="H27" i="1"/>
  <c r="K27" i="1" s="1"/>
  <c r="L27" i="1" s="1"/>
  <c r="G7" i="1"/>
  <c r="AK11" i="2"/>
  <c r="AL11" i="2" s="1"/>
  <c r="AK10" i="2"/>
  <c r="AL10" i="2" s="1"/>
  <c r="B18" i="3" l="1"/>
  <c r="B20" i="1"/>
  <c r="C21" i="1"/>
  <c r="D6" i="3"/>
  <c r="D11" i="3" s="1"/>
  <c r="H7" i="1"/>
  <c r="AK19" i="2"/>
  <c r="AL19" i="2" s="1"/>
  <c r="AJ27" i="2"/>
  <c r="B22" i="1" l="1"/>
  <c r="C13" i="3"/>
  <c r="C18" i="3" s="1"/>
  <c r="B21" i="3"/>
  <c r="D21" i="1"/>
  <c r="E6" i="3"/>
  <c r="E11" i="3" s="1"/>
  <c r="H9" i="1"/>
  <c r="AK27" i="2"/>
  <c r="C21" i="3" l="1"/>
  <c r="C22" i="1"/>
  <c r="D13" i="3"/>
  <c r="D18" i="3" s="1"/>
  <c r="E21" i="1"/>
  <c r="F6" i="3"/>
  <c r="F11" i="3" s="1"/>
  <c r="D21" i="3" l="1"/>
  <c r="D22" i="1"/>
  <c r="E13" i="3"/>
  <c r="E18" i="3" s="1"/>
  <c r="F21" i="1"/>
  <c r="G6" i="3"/>
  <c r="G11" i="3" s="1"/>
  <c r="E21" i="3" l="1"/>
  <c r="F13" i="3"/>
  <c r="F18" i="3" s="1"/>
  <c r="E22" i="1"/>
  <c r="G21" i="1"/>
  <c r="H6" i="3"/>
  <c r="H11" i="3" s="1"/>
  <c r="F21" i="3" l="1"/>
  <c r="F22" i="1"/>
  <c r="G13" i="3"/>
  <c r="G18" i="3" s="1"/>
  <c r="H21" i="1"/>
  <c r="I6" i="3"/>
  <c r="I11" i="3" s="1"/>
  <c r="G21" i="3" l="1"/>
  <c r="G22" i="1"/>
  <c r="H13" i="3"/>
  <c r="H18" i="3" s="1"/>
  <c r="I21" i="1"/>
  <c r="J6" i="3"/>
  <c r="J11" i="3" s="1"/>
  <c r="H21" i="3" l="1"/>
  <c r="I13" i="3"/>
  <c r="I18" i="3" s="1"/>
  <c r="H22" i="1"/>
  <c r="J21" i="1"/>
  <c r="K6" i="3"/>
  <c r="K11" i="3" s="1"/>
  <c r="I21" i="3" l="1"/>
  <c r="I22" i="1"/>
  <c r="J13" i="3"/>
  <c r="J18" i="3" s="1"/>
  <c r="K21" i="1"/>
  <c r="L6" i="3"/>
  <c r="L11" i="3" s="1"/>
  <c r="J21" i="3" l="1"/>
  <c r="J22" i="1"/>
  <c r="K13" i="3"/>
  <c r="K18" i="3" s="1"/>
  <c r="L21" i="1"/>
  <c r="M6" i="3"/>
  <c r="M11" i="3" s="1"/>
  <c r="M21" i="1" s="1"/>
  <c r="K21" i="3" l="1"/>
  <c r="K22" i="1"/>
  <c r="L13" i="3"/>
  <c r="L18" i="3" s="1"/>
  <c r="L21" i="3" l="1"/>
  <c r="L22" i="1"/>
  <c r="M13" i="3"/>
  <c r="M18" i="3" s="1"/>
  <c r="G9" i="1" l="1"/>
  <c r="M21" i="3"/>
  <c r="F9" i="1"/>
  <c r="M22" i="1"/>
</calcChain>
</file>

<file path=xl/sharedStrings.xml><?xml version="1.0" encoding="utf-8"?>
<sst xmlns="http://schemas.openxmlformats.org/spreadsheetml/2006/main" count="300" uniqueCount="197">
  <si>
    <t>Budgetplanung Unternehmen – Excel-Vorlage</t>
  </si>
  <si>
    <t>Steuerung</t>
  </si>
  <si>
    <t>Kennzahlen</t>
  </si>
  <si>
    <t>Unternehmen</t>
  </si>
  <si>
    <t>Jahresumsatz Plan</t>
  </si>
  <si>
    <t>Jahresumsatz Ist + Forecast</t>
  </si>
  <si>
    <t>Jahresausgaben Plan</t>
  </si>
  <si>
    <t>Planjahr</t>
  </si>
  <si>
    <t>Ist-Daten bis Monat</t>
  </si>
  <si>
    <t>Jahresausgaben Ist + Forecast</t>
  </si>
  <si>
    <t>Jahresergebnis Plan</t>
  </si>
  <si>
    <t>Jahresergebnis Ist + Forecast</t>
  </si>
  <si>
    <t>Szenario</t>
  </si>
  <si>
    <t>Startliquidität</t>
  </si>
  <si>
    <t>Endliquidität Forecast</t>
  </si>
  <si>
    <t>Niedrigster Liquiditätsmonat</t>
  </si>
  <si>
    <t>Budgettreue YTD</t>
  </si>
  <si>
    <t>Mindestliquidität</t>
  </si>
  <si>
    <t>Monatsübersicht</t>
  </si>
  <si>
    <t>Kennzahl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</si>
  <si>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</si>
  <si>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</si>
  <si>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</si>
  <si>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</si>
  <si>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</si>
  <si>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</si>
  <si>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</si>
  <si>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</si>
  <si>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</si>
  <si>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</si>
  <si>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</si>
  <si>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</si>
  <si>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Umsatz Plan</t>
  </si>
  <si>
    <t>Umsatz Ist + Forecast</t>
  </si>
  <si>
    <t>Ausgaben Plan</t>
  </si>
  <si>
    <t>Ausgaben Ist + Forecast</t>
  </si>
  <si>
    <t>Investitionen Plan</t>
  </si>
  <si>
    <t>Investitionen Ist + Forecast</t>
  </si>
  <si>
    <t>Ergebnis Plan</t>
  </si>
  <si>
    <t>Ergebnis Ist + Forecast</t>
  </si>
  <si>
    <t>Liquidität Ende Plan</t>
  </si>
  <si>
    <t>Liquidität Ende Ist + Forecast</t>
  </si>
  <si>
    <t>Kostenstelle</t>
  </si>
  <si>
    <t>Plan YTD</t>
  </si>
  <si>
    <t>Ist YTD</t>
  </si>
  <si>
    <t>Abweichung</t>
  </si>
  <si>
    <t>Abw. %</t>
  </si>
  <si>
    <t>Umsatz</t>
  </si>
  <si>
    <t>Ausgaben</t>
  </si>
  <si>
    <t>Investitionen</t>
  </si>
  <si>
    <t>Ergebnis</t>
  </si>
  <si>
    <t>Endliquidität</t>
  </si>
  <si>
    <t>Vertrieb</t>
  </si>
  <si>
    <t>Produkt</t>
  </si>
  <si>
    <t>Marketing</t>
  </si>
  <si>
    <t>Verwaltung</t>
  </si>
  <si>
    <t>Personal</t>
  </si>
  <si>
    <t>Finanzen</t>
  </si>
  <si>
    <t>Budget &amp; Ist – Unternehmensbudget mit Plan-/Ist-Abgleich</t>
  </si>
  <si>
    <t>Eingabebereich: Blaue Zahlen/Angaben sind Beispielwerte. Die rechten Spalten berechnen Jahreswerte, YTD-Abweichungen und Status automatisch.</t>
  </si>
  <si>
    <t>ID</t>
  </si>
  <si>
    <t>Art</t>
  </si>
  <si>
    <t>Kategorie</t>
  </si>
  <si>
    <t>Verantwortlich</t>
  </si>
  <si>
    <t>Kostenart</t>
  </si>
  <si>
    <t>Kommentar</t>
  </si>
  <si>
    <t>Plan Jan</t>
  </si>
  <si>
    <t>Plan Feb</t>
  </si>
  <si>
    <t>Plan Mär</t>
  </si>
  <si>
    <t>Plan Apr</t>
  </si>
  <si>
    <t>Plan Mai</t>
  </si>
  <si>
    <t>Plan Jun</t>
  </si>
  <si>
    <t>Plan Jul</t>
  </si>
  <si>
    <t>Plan Aug</t>
  </si>
  <si>
    <t>Plan Sep</t>
  </si>
  <si>
    <t>Plan Okt</t>
  </si>
  <si>
    <t>Plan Nov</t>
  </si>
  <si>
    <t>Plan Dez</t>
  </si>
  <si>
    <t>Ist Jan</t>
  </si>
  <si>
    <t>Ist Feb</t>
  </si>
  <si>
    <t>Ist Mär</t>
  </si>
  <si>
    <t>Ist Apr</t>
  </si>
  <si>
    <t>Ist Mai</t>
  </si>
  <si>
    <t>Ist Jun</t>
  </si>
  <si>
    <t>Ist Jul</t>
  </si>
  <si>
    <t>Ist Aug</t>
  </si>
  <si>
    <t>Ist Sep</t>
  </si>
  <si>
    <t>Ist Okt</t>
  </si>
  <si>
    <t>Ist Nov</t>
  </si>
  <si>
    <t>Ist Dez</t>
  </si>
  <si>
    <t>Jahresplan</t>
  </si>
  <si>
    <t>Jahres-Ist</t>
  </si>
  <si>
    <t>Abweichung YTD</t>
  </si>
  <si>
    <t>Status</t>
  </si>
  <si>
    <t>E001</t>
  </si>
  <si>
    <t>Einzahlung</t>
  </si>
  <si>
    <t>Software-Abos</t>
  </si>
  <si>
    <t>Lisa Weber</t>
  </si>
  <si>
    <t>variabel</t>
  </si>
  <si>
    <t>monatlich wiederkehrender Umsatz</t>
  </si>
  <si>
    <t>E002</t>
  </si>
  <si>
    <t>Beratungspakete</t>
  </si>
  <si>
    <t>Jonas Richter</t>
  </si>
  <si>
    <t>projektbasierte Kundenaufträge</t>
  </si>
  <si>
    <t>E003</t>
  </si>
  <si>
    <t>Schulungen &amp; Workshops</t>
  </si>
  <si>
    <t>Mira Hartmann</t>
  </si>
  <si>
    <t>offene Trainings und Inhouse-Workshops</t>
  </si>
  <si>
    <t>E004</t>
  </si>
  <si>
    <t>Wartung &amp; Support</t>
  </si>
  <si>
    <t>Tobias Neumann</t>
  </si>
  <si>
    <t>fix</t>
  </si>
  <si>
    <t>Serviceverträge Bestandskunden</t>
  </si>
  <si>
    <t>A001</t>
  </si>
  <si>
    <t>Auszahlung</t>
  </si>
  <si>
    <t>Gehälter Vollzeitteam</t>
  </si>
  <si>
    <t>Anna Becker</t>
  </si>
  <si>
    <t>inklusive Arbeitgeberanteile</t>
  </si>
  <si>
    <t>A002</t>
  </si>
  <si>
    <t>Freelancer Entwicklung</t>
  </si>
  <si>
    <t>externe technische Umsetzung</t>
  </si>
  <si>
    <t>A003</t>
  </si>
  <si>
    <t>Büro &amp; Miete</t>
  </si>
  <si>
    <t>Miete, Nebenkosten, Arbeitsplatz</t>
  </si>
  <si>
    <t>A004</t>
  </si>
  <si>
    <t>Software &amp; Cloud</t>
  </si>
  <si>
    <t>SaaS, Hosting, Monitoring</t>
  </si>
  <si>
    <t>A005</t>
  </si>
  <si>
    <t>Marketingkampagnen</t>
  </si>
  <si>
    <t>Paid Search, Content, Events</t>
  </si>
  <si>
    <t>A006</t>
  </si>
  <si>
    <t>Vertriebskosten</t>
  </si>
  <si>
    <t>Provisionen, Tools, Reisekosten Vertrieb</t>
  </si>
  <si>
    <t>A007</t>
  </si>
  <si>
    <t>Buchhaltung &amp; Beratung</t>
  </si>
  <si>
    <t>Steuerberatung, Controlling, Recht</t>
  </si>
  <si>
    <t>A008</t>
  </si>
  <si>
    <t>Versicherungen &amp; Gebühren</t>
  </si>
  <si>
    <t>Versicherungen, Bankgebühren, Beiträge</t>
  </si>
  <si>
    <t>A009</t>
  </si>
  <si>
    <t>Reisekosten Team</t>
  </si>
  <si>
    <t>Kundenbesuche und Teamtermine</t>
  </si>
  <si>
    <t>A010</t>
  </si>
  <si>
    <t>Direkte Leistungskosten</t>
  </si>
  <si>
    <t>Tools und Zukaufleistungen pro Auftrag</t>
  </si>
  <si>
    <t>A011</t>
  </si>
  <si>
    <t>Kreditrate</t>
  </si>
  <si>
    <t>Zins und Tilgung bestehender Finanzierung</t>
  </si>
  <si>
    <t>I001</t>
  </si>
  <si>
    <t>Investition</t>
  </si>
  <si>
    <t>Neue Laptops &amp; Ausstattung</t>
  </si>
  <si>
    <t>Arbeitsplätze für neue Mitarbeitende</t>
  </si>
  <si>
    <t>I002</t>
  </si>
  <si>
    <t>CRM-Migration</t>
  </si>
  <si>
    <t>einmaliges Implementierungsprojekt</t>
  </si>
  <si>
    <t>I003</t>
  </si>
  <si>
    <t>Datenanalyse-Setup</t>
  </si>
  <si>
    <t>Reporting und BI-Setup</t>
  </si>
  <si>
    <t>Gesamt</t>
  </si>
  <si>
    <t>Liquiditätsplanung – monatlicher Cashflow</t>
  </si>
  <si>
    <t>Die Ist/Forecast-Zeilen nutzen bis zum aktuellen Ist-Monat echte Ist-Werte und danach automatisch Planwerte.</t>
  </si>
  <si>
    <t>Position</t>
  </si>
  <si>
    <t>Anfangsbestand Plan</t>
  </si>
  <si>
    <t>Einzahlungen Plan</t>
  </si>
  <si>
    <t>Auszahlungen Plan</t>
  </si>
  <si>
    <t>Netto-Cashflow Plan</t>
  </si>
  <si>
    <t>Endbestand Plan</t>
  </si>
  <si>
    <t>Anfangsbestand Ist + Forecast</t>
  </si>
  <si>
    <t>Einzahlungen Ist + Forecast</t>
  </si>
  <si>
    <t>Auszahlungen Ist + Forecast</t>
  </si>
  <si>
    <t>Netto-Cashflow Ist + Forecast</t>
  </si>
  <si>
    <t>Endbestand Ist + Forecast</t>
  </si>
  <si>
    <t>Warnung</t>
  </si>
  <si>
    <t>Budgetplanung Unternehmen – Annahmen und Steuerung</t>
  </si>
  <si>
    <t>Eingabe</t>
  </si>
  <si>
    <t>Wert</t>
  </si>
  <si>
    <t>Umsatzfaktor</t>
  </si>
  <si>
    <t>Ausgabenfaktor</t>
  </si>
  <si>
    <t>Investitionsfaktor</t>
  </si>
  <si>
    <t>Beschreibung</t>
  </si>
  <si>
    <t>Musterbetrieb GmbH</t>
  </si>
  <si>
    <t>Vorsichtig</t>
  </si>
  <si>
    <t>konservative Umsatzannahme, höhere laufende Kosten</t>
  </si>
  <si>
    <t>Basis</t>
  </si>
  <si>
    <t>realistische Planung auf Basis des aktuellen Budgets</t>
  </si>
  <si>
    <t>Aktueller Ist-Monat (1–12)</t>
  </si>
  <si>
    <t>Wachstum</t>
  </si>
  <si>
    <t>stärkeres Wachstum mit höherem Investitionsbedarf</t>
  </si>
  <si>
    <t>Sicherheitspuffer Ausgaben</t>
  </si>
  <si>
    <t>Listen für Dropdowns</t>
  </si>
  <si>
    <t>Ausgewähltes Szenario</t>
  </si>
  <si>
    <t>Hinweis</t>
  </si>
  <si>
    <t>Blaue Werte sind Beispieleingaben und können angepasst werden.</t>
  </si>
  <si>
    <t>Besser als Plan</t>
  </si>
  <si>
    <t>Im Rahmen</t>
  </si>
  <si>
    <t>Prüfen</t>
  </si>
  <si>
    <t>Handeln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</si>
</sst>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;[Red]\(#,##0\ \€\);\-"/>
    <numFmt numFmtId="165" formatCode="0.0%;[Red]\(0.0%\);\-"/>
    <numFmt numFmtId="166" formatCode="0.0\x"/>
  </numFmts>
  <fonts count="11" x14ac:knownFonts="1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0000FF"/>
      <name val="Carlito"/>
    </font>
    <font>
      <i/>
      <sz val="11"/>
      <color rgb="FF374151"/>
      <name val="Carlito"/>
    </font>
    <font>
      <i/>
      <sz val="11"/>
      <color rgb="FF1E3A8A"/>
      <name val="Carlito"/>
    </font>
    <font>
      <sz val="11"/>
      <color rgb="FF000000"/>
      <name val="Carlito"/>
    </font>
    <font>
      <b/>
      <sz val="16"/>
      <color rgb="FFFFFFFF"/>
      <name val="Carlito"/>
    </font>
    <font>
      <b/>
      <sz val="12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DBEAFE"/>
      </patternFill>
    </fill>
    <fill>
      <patternFill patternType="solid">
        <fgColor rgb="FFE0F2F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3" fillId="4" borderId="0" xfId="1" applyFont="1" applyFill="1"/>
    <xf numFmtId="0" fontId="4" fillId="5" borderId="0" xfId="1" applyFont="1" applyFill="1"/>
    <xf numFmtId="0" fontId="5" fillId="0" borderId="0" xfId="1" applyFont="1" applyAlignment="1">
      <alignment wrapText="1"/>
    </xf>
    <xf numFmtId="1" fontId="4" fillId="5" borderId="0" xfId="1" applyNumberFormat="1" applyFont="1" applyFill="1"/>
    <xf numFmtId="164" fontId="4" fillId="5" borderId="0" xfId="1" applyNumberFormat="1" applyFont="1" applyFill="1"/>
    <xf numFmtId="165" fontId="4" fillId="5" borderId="0" xfId="1" applyNumberFormat="1" applyFont="1" applyFill="1"/>
    <xf numFmtId="0" fontId="4" fillId="0" borderId="0" xfId="1" applyFont="1"/>
    <xf numFmtId="166" fontId="4" fillId="0" borderId="0" xfId="1" applyNumberFormat="1" applyFont="1"/>
    <xf numFmtId="0" fontId="4" fillId="0" borderId="0" xfId="1" applyFont="1" applyAlignment="1">
      <alignment wrapText="1"/>
    </xf>
    <xf numFmtId="0" fontId="2" fillId="3" borderId="0" xfId="1" applyFont="1" applyFill="1" applyAlignment="1">
      <alignment horizontal="center" vertical="center" wrapText="1"/>
    </xf>
    <xf numFmtId="164" fontId="4" fillId="0" borderId="0" xfId="1" applyNumberFormat="1" applyFont="1"/>
    <xf numFmtId="164" fontId="7" fillId="0" borderId="0" xfId="1" applyNumberFormat="1" applyFont="1"/>
    <xf numFmtId="165" fontId="7" fillId="0" borderId="0" xfId="1" applyNumberFormat="1" applyFont="1"/>
    <xf numFmtId="0" fontId="7" fillId="0" borderId="0" xfId="1" applyFont="1" applyAlignment="1">
      <alignment horizontal="center"/>
    </xf>
    <xf numFmtId="164" fontId="3" fillId="7" borderId="0" xfId="1" applyNumberFormat="1" applyFont="1" applyFill="1"/>
    <xf numFmtId="165" fontId="3" fillId="7" borderId="0" xfId="1" applyNumberFormat="1" applyFont="1" applyFill="1"/>
    <xf numFmtId="0" fontId="3" fillId="4" borderId="0" xfId="1" applyFont="1" applyFill="1" applyAlignment="1">
      <alignment wrapText="1"/>
    </xf>
    <xf numFmtId="164" fontId="0" fillId="0" borderId="0" xfId="1" applyNumberFormat="1" applyFont="1"/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center" wrapText="1"/>
    </xf>
    <xf numFmtId="0" fontId="9" fillId="0" borderId="0" xfId="1" applyFont="1" applyAlignment="1">
      <alignment horizontal="center" vertical="center"/>
    </xf>
    <xf numFmtId="0" fontId="9" fillId="4" borderId="0" xfId="1" applyFont="1" applyFill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164" fontId="9" fillId="4" borderId="0" xfId="1" applyNumberFormat="1" applyFont="1" applyFill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165" fontId="0" fillId="0" borderId="0" xfId="1" applyNumberFormat="1" applyFont="1"/>
    <xf numFmtId="0" fontId="8" fillId="2" borderId="0" xfId="1" applyFont="1" applyFill="1" applyAlignment="1">
      <alignment horizontal="left" vertical="center"/>
    </xf>
    <xf numFmtId="0" fontId="0" fillId="0" borderId="0" xfId="1" applyFont="1" applyAlignment="1">
      <alignment vertical="center"/>
    </xf>
    <xf numFmtId="0" fontId="2" fillId="3" borderId="0" xfId="1" applyFont="1" applyFill="1"/>
    <xf numFmtId="0" fontId="0" fillId="0" borderId="0" xfId="0"/>
    <xf numFmtId="0" fontId="2" fillId="2" borderId="0" xfId="1" applyFont="1" applyFill="1"/>
    <xf numFmtId="0" fontId="1" fillId="2" borderId="0" xfId="1" applyFont="1" applyFill="1" applyAlignment="1">
      <alignment horizontal="left" vertical="center"/>
    </xf>
    <xf numFmtId="0" fontId="6" fillId="6" borderId="0" xfId="1" applyFont="1" applyFill="1" applyAlignment="1">
      <alignment wrapText="1"/>
    </xf>
    <xf numFmtId="0" fontId="1" fillId="2" borderId="0" xfId="1" applyFont="1" applyFill="1" applyAlignment="1">
      <alignment horizontal="left"/>
    </xf>
    <xf numFmtId="0" fontId="4" fillId="5" borderId="0" xfId="1" applyFont="1" applyFill="1" applyAlignment="1">
      <alignment horizontal="left"/>
    </xf>
    <xf numFmtId="164" fontId="4" fillId="5" borderId="0" xfId="1" applyNumberFormat="1" applyFont="1" applyFill="1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ECFDF5"/>
        </patternFill>
      </fill>
    </dxf>
    <dxf>
      <fill>
        <patternFill patternType="solid">
          <bgColor rgb="FFDCFCE7"/>
        </patternFill>
      </fill>
    </dxf>
    <dxf>
      <font>
        <color rgb="FFB91C1C"/>
      </font>
    </dxf>
    <dxf>
      <font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Ergebnis Plan</c:v>
          </c:tx>
          <c:invertIfNegative val="1"/>
          <c:cat>
            <c:strRef>
              <c:f>Übersicht!$B$12:$M$12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Übersicht!$B$19:$M$19</c:f>
              <c:numCache>
                <c:formatCode>General</c:formatCode>
                <c:ptCount val="12"/>
                <c:pt idx="0">
                  <c:v>-13000</c:v>
                </c:pt>
                <c:pt idx="1">
                  <c:v>-21200</c:v>
                </c:pt>
                <c:pt idx="2">
                  <c:v>-42400</c:v>
                </c:pt>
                <c:pt idx="3">
                  <c:v>-27700</c:v>
                </c:pt>
                <c:pt idx="4">
                  <c:v>-30400</c:v>
                </c:pt>
                <c:pt idx="5">
                  <c:v>-41100</c:v>
                </c:pt>
                <c:pt idx="6">
                  <c:v>-21000</c:v>
                </c:pt>
                <c:pt idx="7">
                  <c:v>-10800</c:v>
                </c:pt>
                <c:pt idx="8">
                  <c:v>-36900</c:v>
                </c:pt>
                <c:pt idx="9">
                  <c:v>-26300</c:v>
                </c:pt>
                <c:pt idx="10">
                  <c:v>-18900</c:v>
                </c:pt>
                <c:pt idx="11">
                  <c:v>-19100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7-467B-B29D-52D69612868A}"/>
            </c:ext>
          </c:extLst>
        </c:ser>
        <c:ser>
          <c:idx val="1"/>
          <c:order val="1"/>
          <c:tx>
            <c:v>Ergebnis Ist + Forecast</c:v>
          </c:tx>
          <c:invertIfNegative val="1"/>
          <c:cat>
            <c:strRef>
              <c:f>Übersicht!$B$12:$M$12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Übersicht!$B$20:$M$20</c:f>
              <c:numCache>
                <c:formatCode>General</c:formatCode>
                <c:ptCount val="12"/>
                <c:pt idx="0">
                  <c:v>-16400</c:v>
                </c:pt>
                <c:pt idx="1">
                  <c:v>-23300</c:v>
                </c:pt>
                <c:pt idx="2">
                  <c:v>-46100</c:v>
                </c:pt>
                <c:pt idx="3">
                  <c:v>-26400</c:v>
                </c:pt>
                <c:pt idx="4">
                  <c:v>-30400</c:v>
                </c:pt>
                <c:pt idx="5">
                  <c:v>-41100</c:v>
                </c:pt>
                <c:pt idx="6">
                  <c:v>-21000</c:v>
                </c:pt>
                <c:pt idx="7">
                  <c:v>-10800</c:v>
                </c:pt>
                <c:pt idx="8">
                  <c:v>-36900</c:v>
                </c:pt>
                <c:pt idx="9">
                  <c:v>-26300</c:v>
                </c:pt>
                <c:pt idx="10">
                  <c:v>-18900</c:v>
                </c:pt>
                <c:pt idx="11">
                  <c:v>-19100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7-467B-B29D-52D69612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Liquidität Ende Plan</c:v>
          </c:tx>
          <c:cat>
            <c:strRef>
              <c:f>Übersicht!$B$12:$M$12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Übersicht!$B$21:$M$21</c:f>
              <c:numCache>
                <c:formatCode>General</c:formatCode>
                <c:ptCount val="12"/>
                <c:pt idx="0">
                  <c:v>337000</c:v>
                </c:pt>
                <c:pt idx="1">
                  <c:v>315800</c:v>
                </c:pt>
                <c:pt idx="2">
                  <c:v>273400</c:v>
                </c:pt>
                <c:pt idx="3">
                  <c:v>245700</c:v>
                </c:pt>
                <c:pt idx="4">
                  <c:v>215300</c:v>
                </c:pt>
                <c:pt idx="5">
                  <c:v>174200</c:v>
                </c:pt>
                <c:pt idx="6">
                  <c:v>153200</c:v>
                </c:pt>
                <c:pt idx="7">
                  <c:v>142400</c:v>
                </c:pt>
                <c:pt idx="8">
                  <c:v>105500</c:v>
                </c:pt>
                <c:pt idx="9">
                  <c:v>79200</c:v>
                </c:pt>
                <c:pt idx="10">
                  <c:v>60300</c:v>
                </c:pt>
                <c:pt idx="11">
                  <c:v>41200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1-47C6-93CD-FA5A8EFA812C}"/>
            </c:ext>
          </c:extLst>
        </c:ser>
        <c:ser>
          <c:idx val="1"/>
          <c:order val="1"/>
          <c:tx>
            <c:v>Liquidität Ende Ist + Forecast</c:v>
          </c:tx>
          <c:cat>
            <c:strRef>
              <c:f>Übersicht!$B$12:$M$12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Übersicht!$B$22:$M$22</c:f>
              <c:numCache>
                <c:formatCode>General</c:formatCode>
                <c:ptCount val="12"/>
                <c:pt idx="0">
                  <c:v>333600</c:v>
                </c:pt>
                <c:pt idx="1">
                  <c:v>310300</c:v>
                </c:pt>
                <c:pt idx="2">
                  <c:v>264200</c:v>
                </c:pt>
                <c:pt idx="3">
                  <c:v>237800</c:v>
                </c:pt>
                <c:pt idx="4">
                  <c:v>207400</c:v>
                </c:pt>
                <c:pt idx="5">
                  <c:v>166300</c:v>
                </c:pt>
                <c:pt idx="6">
                  <c:v>145300</c:v>
                </c:pt>
                <c:pt idx="7">
                  <c:v>134500</c:v>
                </c:pt>
                <c:pt idx="8">
                  <c:v>97600</c:v>
                </c:pt>
                <c:pt idx="9">
                  <c:v>71300</c:v>
                </c:pt>
                <c:pt idx="10">
                  <c:v>52400</c:v>
                </c:pt>
                <c:pt idx="11">
                  <c:v>33300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1-47C6-93CD-FA5A8EFA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31</xdr:row>
      <xdr:rowOff>0</xdr:rowOff>
    </xdr:from>
    <xdr:to>
      <xdr:col>14</xdr:col>
      <xdr:colOff>0</xdr:colOff>
      <xdr:row>49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IstTabelle" displayName="BudgetIstTabelle" ref="A7:AL25">
  <tableColumns count="38">
    <tableColumn id="1" xr3:uid="{00000000-0010-0000-0000-000001000000}" name="ID"/>
    <tableColumn id="2" xr3:uid="{00000000-0010-0000-0000-000002000000}" name="Art"/>
    <tableColumn id="3" xr3:uid="{00000000-0010-0000-0000-000003000000}" name="Kategorie"/>
    <tableColumn id="4" xr3:uid="{00000000-0010-0000-0000-000004000000}" name="Kostenstelle"/>
    <tableColumn id="5" xr3:uid="{00000000-0010-0000-0000-000005000000}" name="Verantwortlich"/>
    <tableColumn id="6" xr3:uid="{00000000-0010-0000-0000-000006000000}" name="Kostenart"/>
    <tableColumn id="7" xr3:uid="{00000000-0010-0000-0000-000007000000}" name="Kommentar"/>
    <tableColumn id="8" xr3:uid="{00000000-0010-0000-0000-000008000000}" name="Plan Jan"/>
    <tableColumn id="9" xr3:uid="{00000000-0010-0000-0000-000009000000}" name="Plan Feb"/>
    <tableColumn id="10" xr3:uid="{00000000-0010-0000-0000-00000A000000}" name="Plan Mär"/>
    <tableColumn id="11" xr3:uid="{00000000-0010-0000-0000-00000B000000}" name="Plan Apr"/>
    <tableColumn id="12" xr3:uid="{00000000-0010-0000-0000-00000C000000}" name="Plan Mai"/>
    <tableColumn id="13" xr3:uid="{00000000-0010-0000-0000-00000D000000}" name="Plan Jun"/>
    <tableColumn id="14" xr3:uid="{00000000-0010-0000-0000-00000E000000}" name="Plan Jul"/>
    <tableColumn id="15" xr3:uid="{00000000-0010-0000-0000-00000F000000}" name="Plan Aug"/>
    <tableColumn id="16" xr3:uid="{00000000-0010-0000-0000-000010000000}" name="Plan Sep"/>
    <tableColumn id="17" xr3:uid="{00000000-0010-0000-0000-000011000000}" name="Plan Okt"/>
    <tableColumn id="18" xr3:uid="{00000000-0010-0000-0000-000012000000}" name="Plan Nov"/>
    <tableColumn id="19" xr3:uid="{00000000-0010-0000-0000-000013000000}" name="Plan Dez"/>
    <tableColumn id="20" xr3:uid="{00000000-0010-0000-0000-000014000000}" name="Ist Jan"/>
    <tableColumn id="21" xr3:uid="{00000000-0010-0000-0000-000015000000}" name="Ist Feb"/>
    <tableColumn id="22" xr3:uid="{00000000-0010-0000-0000-000016000000}" name="Ist Mär"/>
    <tableColumn id="23" xr3:uid="{00000000-0010-0000-0000-000017000000}" name="Ist Apr"/>
    <tableColumn id="24" xr3:uid="{00000000-0010-0000-0000-000018000000}" name="Ist Mai"/>
    <tableColumn id="25" xr3:uid="{00000000-0010-0000-0000-000019000000}" name="Ist Jun"/>
    <tableColumn id="26" xr3:uid="{00000000-0010-0000-0000-00001A000000}" name="Ist Jul"/>
    <tableColumn id="27" xr3:uid="{00000000-0010-0000-0000-00001B000000}" name="Ist Aug"/>
    <tableColumn id="28" xr3:uid="{00000000-0010-0000-0000-00001C000000}" name="Ist Sep"/>
    <tableColumn id="29" xr3:uid="{00000000-0010-0000-0000-00001D000000}" name="Ist Okt"/>
    <tableColumn id="30" xr3:uid="{00000000-0010-0000-0000-00001E000000}" name="Ist Nov"/>
    <tableColumn id="31" xr3:uid="{00000000-0010-0000-0000-00001F000000}" name="Ist Dez"/>
    <tableColumn id="32" xr3:uid="{00000000-0010-0000-0000-000020000000}" name="Jahresplan"/>
    <tableColumn id="33" xr3:uid="{00000000-0010-0000-0000-000021000000}" name="Jahres-Ist"/>
    <tableColumn id="34" xr3:uid="{00000000-0010-0000-0000-000022000000}" name="Plan YTD"/>
    <tableColumn id="35" xr3:uid="{00000000-0010-0000-0000-000023000000}" name="Ist YTD"/>
    <tableColumn id="36" xr3:uid="{00000000-0010-0000-0000-000024000000}" name="Abweichung YTD"/>
    <tableColumn id="37" xr3:uid="{00000000-0010-0000-0000-000025000000}" name="Abw. %"/>
    <tableColumn id="38" xr3:uid="{00000000-0010-0000-0000-000026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iquiditaetTabelle" displayName="LiquiditaetTabelle" ref="A5:M21">
  <tableColumns count="13">
    <tableColumn id="1" xr3:uid="{00000000-0010-0000-0100-000001000000}" name="Position"/>
    <tableColumn id="2" xr3:uid="{00000000-0010-0000-0100-000002000000}" name="Jan"/>
    <tableColumn id="3" xr3:uid="{00000000-0010-0000-0100-000003000000}" name="Feb"/>
    <tableColumn id="4" xr3:uid="{00000000-0010-0000-0100-000004000000}" name="Mär"/>
    <tableColumn id="5" xr3:uid="{00000000-0010-0000-0100-000005000000}" name="Apr"/>
    <tableColumn id="6" xr3:uid="{00000000-0010-0000-0100-000006000000}" name="Mai"/>
    <tableColumn id="7" xr3:uid="{00000000-0010-0000-0100-000007000000}" name="Jun"/>
    <tableColumn id="8" xr3:uid="{00000000-0010-0000-0100-000008000000}" name="Jul"/>
    <tableColumn id="9" xr3:uid="{00000000-0010-0000-0100-000009000000}" name="Aug"/>
    <tableColumn id="10" xr3:uid="{00000000-0010-0000-0100-00000A000000}" name="Sep"/>
    <tableColumn id="11" xr3:uid="{00000000-0010-0000-0100-00000B000000}" name="Okt"/>
    <tableColumn id="12" xr3:uid="{00000000-0010-0000-0100-00000C000000}" name="Nov"/>
    <tableColumn id="13" xr3:uid="{00000000-0010-0000-0100-00000D000000}" name="De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1" workbookViewId="0">
      <selection activeCell="G30" sqref="G30"/>
    </sheetView>
  </sheetViews>
  <sheetFormatPr baseColWidth="10" defaultColWidth="9" defaultRowHeight="15" x14ac:dyDescent="0.25"/>
  <cols>
    <col min="1" max="1" width="30" customWidth="1"/>
    <col min="2" max="5" width="12" customWidth="1"/>
    <col min="6" max="6" width="22" customWidth="1"/>
    <col min="7" max="12" width="16" customWidth="1"/>
    <col min="13" max="13" width="12" customWidth="1"/>
  </cols>
  <sheetData>
    <row r="1" spans="1:14" ht="30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3" spans="1:14" x14ac:dyDescent="0.25">
      <c r="A3" s="31" t="s">
        <v>1</v>
      </c>
      <c r="B3" s="32"/>
      <c r="C3" s="32"/>
      <c r="D3" s="32"/>
      <c r="F3" s="31" t="s">
        <v>2</v>
      </c>
      <c r="G3" s="32"/>
      <c r="H3" s="32"/>
      <c r="I3" s="32"/>
      <c r="J3" s="32"/>
      <c r="K3" s="32"/>
      <c r="L3" s="32"/>
      <c r="M3" s="32"/>
      <c r="N3" s="32"/>
    </row>
    <row r="4" spans="1:14" ht="30" x14ac:dyDescent="0.25">
      <c r="A4" s="3" t="s">
        <v>3</v>
      </c>
      <c r="B4" s="37" t="str">
        <f>Annahmen!$B$4</f>
        <v>Musterbetrieb GmbH</v>
      </c>
      <c r="C4" s="37"/>
      <c r="D4" s="37"/>
      <c r="F4" s="22" t="s">
        <v>4</v>
      </c>
      <c r="G4" s="22" t="s">
        <v>5</v>
      </c>
      <c r="H4" s="22" t="s">
        <v>6</v>
      </c>
    </row>
    <row r="5" spans="1:14" ht="24" customHeight="1" x14ac:dyDescent="0.25">
      <c r="A5" s="3" t="s">
        <v>7</v>
      </c>
      <c r="B5" s="37">
        <f>Annahmen!$B$5</f>
        <v>2026</v>
      </c>
      <c r="C5" s="37"/>
      <c r="D5" s="37"/>
      <c r="F5" s="25">
        <f>SUMIFS('Budget &amp; Ist'!$AF$8:$AF$25,'Budget &amp; Ist'!$B$8:$B$25,"Einzahlung")</f>
        <v>2014500</v>
      </c>
      <c r="G5" s="25">
        <f>SUM(Liquidität!B14:M14)</f>
        <v>2040900</v>
      </c>
      <c r="H5" s="25">
        <f>SUMIFS('Budget &amp; Ist'!$AF$8:$AF$25,'Budget &amp; Ist'!$B$8:$B$25,"Auszahlung")+SUMIFS('Budget &amp; Ist'!$AF$8:$AF$25,'Budget &amp; Ist'!$B$8:$B$25,"Investition")</f>
        <v>2323300</v>
      </c>
    </row>
    <row r="6" spans="1:14" ht="24" customHeight="1" x14ac:dyDescent="0.25">
      <c r="A6" s="3" t="s">
        <v>8</v>
      </c>
      <c r="B6" s="37" t="str">
        <f>INDEX($B$12:$M$12,1,Annahmen!$B$6)</f>
        <v>Apr</v>
      </c>
      <c r="C6" s="37"/>
      <c r="D6" s="37"/>
      <c r="F6" s="26" t="s">
        <v>9</v>
      </c>
      <c r="G6" s="26" t="s">
        <v>10</v>
      </c>
      <c r="H6" s="26" t="s">
        <v>11</v>
      </c>
    </row>
    <row r="7" spans="1:14" ht="24" customHeight="1" x14ac:dyDescent="0.25">
      <c r="A7" s="3" t="s">
        <v>12</v>
      </c>
      <c r="B7" s="37" t="str">
        <f>Annahmen!$B$10</f>
        <v>Basis</v>
      </c>
      <c r="C7" s="37"/>
      <c r="D7" s="37"/>
      <c r="F7" s="25">
        <f>SUM(Liquidität!B15:M16)</f>
        <v>2357600</v>
      </c>
      <c r="G7" s="25">
        <f>F5-H5</f>
        <v>-308800</v>
      </c>
      <c r="H7" s="25">
        <f>G5-F7</f>
        <v>-316700</v>
      </c>
    </row>
    <row r="8" spans="1:14" ht="24" customHeight="1" x14ac:dyDescent="0.25">
      <c r="A8" s="3" t="s">
        <v>13</v>
      </c>
      <c r="B8" s="38">
        <f>Annahmen!$B$7</f>
        <v>350000</v>
      </c>
      <c r="C8" s="38"/>
      <c r="D8" s="38"/>
      <c r="F8" s="24" t="s">
        <v>14</v>
      </c>
      <c r="G8" s="24" t="s">
        <v>15</v>
      </c>
      <c r="H8" s="24" t="s">
        <v>16</v>
      </c>
    </row>
    <row r="9" spans="1:14" ht="24" customHeight="1" x14ac:dyDescent="0.25">
      <c r="A9" s="3" t="s">
        <v>17</v>
      </c>
      <c r="B9" s="38">
        <f>Annahmen!$B$8</f>
        <v>50000</v>
      </c>
      <c r="C9" s="38"/>
      <c r="D9" s="38"/>
      <c r="F9" s="25">
        <f>Liquidität!M18</f>
        <v>33300</v>
      </c>
      <c r="G9" s="23" t="str">
        <f>INDEX($B$12:$M$12,1,MATCH(MIN(Liquidität!$B$18:$M$18),Liquidität!$B$18:$M$18,0))&amp;" ("&amp;TEXT(MIN(Liquidität!$B$18:$M$18),"#,##0 €")&amp;")"</f>
        <v>Dez (33300,0 €)</v>
      </c>
      <c r="H9" s="27">
        <f>1-ABS('Budget &amp; Ist'!$AJ$27)/'Budget &amp; Ist'!$AH$27</f>
        <v>0.99392914777530161</v>
      </c>
    </row>
    <row r="11" spans="1:14" x14ac:dyDescent="0.25">
      <c r="A11" s="33" t="s">
        <v>18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26</v>
      </c>
      <c r="I12" s="2" t="s">
        <v>27</v>
      </c>
      <c r="J12" s="2" t="s">
        <v>28</v>
      </c>
      <c r="K12" s="2" t="s">
        <v>29</v>
      </c>
      <c r="L12" s="2" t="s">
        <v>30</v>
      </c>
      <c r="M12" s="2" t="s">
        <v>31</v>
      </c>
    </row>
    <row r="13" spans="1:14" x14ac:dyDescent="0.25">
      <c r="A13" s="19" t="s">
        <v>32</v>
      </c>
      <c r="B13" s="20">
        <f>SUMIFS('Budget &amp; Ist'!$H$8:$H$25,'Budget &amp; Ist'!$B$8:$B$25,"Einzahlung")</f>
        <v>144500</v>
      </c>
      <c r="C13" s="20">
        <f>SUMIFS('Budget &amp; Ist'!$I$8:$I$25,'Budget &amp; Ist'!$B$8:$B$25,"Einzahlung")</f>
        <v>144900</v>
      </c>
      <c r="D13" s="20">
        <f>SUMIFS('Budget &amp; Ist'!$J$8:$J$25,'Budget &amp; Ist'!$B$8:$B$25,"Einzahlung")</f>
        <v>156300</v>
      </c>
      <c r="E13" s="20">
        <f>SUMIFS('Budget &amp; Ist'!$K$8:$K$25,'Budget &amp; Ist'!$B$8:$B$25,"Einzahlung")</f>
        <v>152800</v>
      </c>
      <c r="F13" s="20">
        <f>SUMIFS('Budget &amp; Ist'!$L$8:$L$25,'Budget &amp; Ist'!$B$8:$B$25,"Einzahlung")</f>
        <v>163300</v>
      </c>
      <c r="G13" s="20">
        <f>SUMIFS('Budget &amp; Ist'!$M$8:$M$25,'Budget &amp; Ist'!$B$8:$B$25,"Einzahlung")</f>
        <v>165800</v>
      </c>
      <c r="H13" s="20">
        <f>SUMIFS('Budget &amp; Ist'!$N$8:$N$25,'Budget &amp; Ist'!$B$8:$B$25,"Einzahlung")</f>
        <v>167300</v>
      </c>
      <c r="I13" s="20">
        <f>SUMIFS('Budget &amp; Ist'!$O$8:$O$25,'Budget &amp; Ist'!$B$8:$B$25,"Einzahlung")</f>
        <v>170900</v>
      </c>
      <c r="J13" s="20">
        <f>SUMIFS('Budget &amp; Ist'!$P$8:$P$25,'Budget &amp; Ist'!$B$8:$B$25,"Einzahlung")</f>
        <v>179500</v>
      </c>
      <c r="K13" s="20">
        <f>SUMIFS('Budget &amp; Ist'!$Q$8:$Q$25,'Budget &amp; Ist'!$B$8:$B$25,"Einzahlung")</f>
        <v>182100</v>
      </c>
      <c r="L13" s="20">
        <f>SUMIFS('Budget &amp; Ist'!$R$8:$R$25,'Budget &amp; Ist'!$B$8:$B$25,"Einzahlung")</f>
        <v>189700</v>
      </c>
      <c r="M13" s="20">
        <f>SUMIFS('Budget &amp; Ist'!$S$8:$S$25,'Budget &amp; Ist'!$B$8:$B$25,"Einzahlung")</f>
        <v>197400</v>
      </c>
    </row>
    <row r="14" spans="1:14" x14ac:dyDescent="0.25">
      <c r="A14" s="19" t="s">
        <v>33</v>
      </c>
      <c r="B14" s="20">
        <f>Liquidität!B14</f>
        <v>148500</v>
      </c>
      <c r="C14" s="20">
        <f>Liquidität!C14</f>
        <v>152800</v>
      </c>
      <c r="D14" s="20">
        <f>Liquidität!D14</f>
        <v>162900</v>
      </c>
      <c r="E14" s="20">
        <f>Liquidität!E14</f>
        <v>160700</v>
      </c>
      <c r="F14" s="20">
        <f>Liquidität!F14</f>
        <v>163300</v>
      </c>
      <c r="G14" s="20">
        <f>Liquidität!G14</f>
        <v>165800</v>
      </c>
      <c r="H14" s="20">
        <f>Liquidität!H14</f>
        <v>167300</v>
      </c>
      <c r="I14" s="20">
        <f>Liquidität!I14</f>
        <v>170900</v>
      </c>
      <c r="J14" s="20">
        <f>Liquidität!J14</f>
        <v>179500</v>
      </c>
      <c r="K14" s="20">
        <f>Liquidität!K14</f>
        <v>182100</v>
      </c>
      <c r="L14" s="20">
        <f>Liquidität!L14</f>
        <v>189700</v>
      </c>
      <c r="M14" s="20">
        <f>Liquidität!M14</f>
        <v>197400</v>
      </c>
    </row>
    <row r="15" spans="1:14" x14ac:dyDescent="0.25">
      <c r="A15" s="19" t="s">
        <v>34</v>
      </c>
      <c r="B15" s="20">
        <f>SUMIFS('Budget &amp; Ist'!$H$8:$H$25,'Budget &amp; Ist'!$B$8:$B$25,"Auszahlung")</f>
        <v>157500</v>
      </c>
      <c r="C15" s="20">
        <f>SUMIFS('Budget &amp; Ist'!$I$8:$I$25,'Budget &amp; Ist'!$B$8:$B$25,"Auszahlung")</f>
        <v>157100</v>
      </c>
      <c r="D15" s="20">
        <f>SUMIFS('Budget &amp; Ist'!$J$8:$J$25,'Budget &amp; Ist'!$B$8:$B$25,"Auszahlung")</f>
        <v>171700</v>
      </c>
      <c r="E15" s="20">
        <f>SUMIFS('Budget &amp; Ist'!$K$8:$K$25,'Budget &amp; Ist'!$B$8:$B$25,"Auszahlung")</f>
        <v>165000</v>
      </c>
      <c r="F15" s="20">
        <f>SUMIFS('Budget &amp; Ist'!$L$8:$L$25,'Budget &amp; Ist'!$B$8:$B$25,"Auszahlung")</f>
        <v>181200</v>
      </c>
      <c r="G15" s="20">
        <f>SUMIFS('Budget &amp; Ist'!$M$8:$M$25,'Budget &amp; Ist'!$B$8:$B$25,"Auszahlung")</f>
        <v>188400</v>
      </c>
      <c r="H15" s="20">
        <f>SUMIFS('Budget &amp; Ist'!$N$8:$N$25,'Budget &amp; Ist'!$B$8:$B$25,"Auszahlung")</f>
        <v>188300</v>
      </c>
      <c r="I15" s="20">
        <f>SUMIFS('Budget &amp; Ist'!$O$8:$O$25,'Budget &amp; Ist'!$B$8:$B$25,"Auszahlung")</f>
        <v>181700</v>
      </c>
      <c r="J15" s="20">
        <f>SUMIFS('Budget &amp; Ist'!$P$8:$P$25,'Budget &amp; Ist'!$B$8:$B$25,"Auszahlung")</f>
        <v>201400</v>
      </c>
      <c r="K15" s="20">
        <f>SUMIFS('Budget &amp; Ist'!$Q$8:$Q$25,'Budget &amp; Ist'!$B$8:$B$25,"Auszahlung")</f>
        <v>208400</v>
      </c>
      <c r="L15" s="20">
        <f>SUMIFS('Budget &amp; Ist'!$R$8:$R$25,'Budget &amp; Ist'!$B$8:$B$25,"Auszahlung")</f>
        <v>208600</v>
      </c>
      <c r="M15" s="20">
        <f>SUMIFS('Budget &amp; Ist'!$S$8:$S$25,'Budget &amp; Ist'!$B$8:$B$25,"Auszahlung")</f>
        <v>216500</v>
      </c>
    </row>
    <row r="16" spans="1:14" x14ac:dyDescent="0.25">
      <c r="A16" s="19" t="s">
        <v>35</v>
      </c>
      <c r="B16" s="20">
        <f>Liquidität!B15</f>
        <v>164900</v>
      </c>
      <c r="C16" s="20">
        <f>Liquidität!C15</f>
        <v>167500</v>
      </c>
      <c r="D16" s="20">
        <f>Liquidität!D15</f>
        <v>182000</v>
      </c>
      <c r="E16" s="20">
        <f>Liquidität!E15</f>
        <v>171700</v>
      </c>
      <c r="F16" s="20">
        <f>Liquidität!F15</f>
        <v>181200</v>
      </c>
      <c r="G16" s="20">
        <f>Liquidität!G15</f>
        <v>188400</v>
      </c>
      <c r="H16" s="20">
        <f>Liquidität!H15</f>
        <v>188300</v>
      </c>
      <c r="I16" s="20">
        <f>Liquidität!I15</f>
        <v>181700</v>
      </c>
      <c r="J16" s="20">
        <f>Liquidität!J15</f>
        <v>201400</v>
      </c>
      <c r="K16" s="20">
        <f>Liquidität!K15</f>
        <v>208400</v>
      </c>
      <c r="L16" s="20">
        <f>Liquidität!L15</f>
        <v>208600</v>
      </c>
      <c r="M16" s="20">
        <f>Liquidität!M15</f>
        <v>216500</v>
      </c>
    </row>
    <row r="17" spans="1:13" x14ac:dyDescent="0.25">
      <c r="A17" s="19" t="s">
        <v>36</v>
      </c>
      <c r="B17" s="20">
        <f>SUMIFS('Budget &amp; Ist'!$H$8:$H$25,'Budget &amp; Ist'!$B$8:$B$25,"Investition")</f>
        <v>0</v>
      </c>
      <c r="C17" s="20">
        <f>SUMIFS('Budget &amp; Ist'!$I$8:$I$25,'Budget &amp; Ist'!$B$8:$B$25,"Investition")</f>
        <v>9000</v>
      </c>
      <c r="D17" s="20">
        <f>SUMIFS('Budget &amp; Ist'!$J$8:$J$25,'Budget &amp; Ist'!$B$8:$B$25,"Investition")</f>
        <v>27000</v>
      </c>
      <c r="E17" s="20">
        <f>SUMIFS('Budget &amp; Ist'!$K$8:$K$25,'Budget &amp; Ist'!$B$8:$B$25,"Investition")</f>
        <v>15500</v>
      </c>
      <c r="F17" s="20">
        <f>SUMIFS('Budget &amp; Ist'!$L$8:$L$25,'Budget &amp; Ist'!$B$8:$B$25,"Investition")</f>
        <v>12500</v>
      </c>
      <c r="G17" s="20">
        <f>SUMIFS('Budget &amp; Ist'!$M$8:$M$25,'Budget &amp; Ist'!$B$8:$B$25,"Investition")</f>
        <v>18500</v>
      </c>
      <c r="H17" s="20">
        <f>SUMIFS('Budget &amp; Ist'!$N$8:$N$25,'Budget &amp; Ist'!$B$8:$B$25,"Investition")</f>
        <v>0</v>
      </c>
      <c r="I17" s="20">
        <f>SUMIFS('Budget &amp; Ist'!$O$8:$O$25,'Budget &amp; Ist'!$B$8:$B$25,"Investition")</f>
        <v>0</v>
      </c>
      <c r="J17" s="20">
        <f>SUMIFS('Budget &amp; Ist'!$P$8:$P$25,'Budget &amp; Ist'!$B$8:$B$25,"Investition")</f>
        <v>15000</v>
      </c>
      <c r="K17" s="20">
        <f>SUMIFS('Budget &amp; Ist'!$Q$8:$Q$25,'Budget &amp; Ist'!$B$8:$B$25,"Investition")</f>
        <v>0</v>
      </c>
      <c r="L17" s="20">
        <f>SUMIFS('Budget &amp; Ist'!$R$8:$R$25,'Budget &amp; Ist'!$B$8:$B$25,"Investition")</f>
        <v>0</v>
      </c>
      <c r="M17" s="20">
        <f>SUMIFS('Budget &amp; Ist'!$S$8:$S$25,'Budget &amp; Ist'!$B$8:$B$25,"Investition")</f>
        <v>0</v>
      </c>
    </row>
    <row r="18" spans="1:13" x14ac:dyDescent="0.25">
      <c r="A18" s="19" t="s">
        <v>37</v>
      </c>
      <c r="B18" s="20">
        <f>Liquidität!B16</f>
        <v>0</v>
      </c>
      <c r="C18" s="20">
        <f>Liquidität!C16</f>
        <v>8600</v>
      </c>
      <c r="D18" s="20">
        <f>Liquidität!D16</f>
        <v>27000</v>
      </c>
      <c r="E18" s="20">
        <f>Liquidität!E16</f>
        <v>15400</v>
      </c>
      <c r="F18" s="20">
        <f>Liquidität!F16</f>
        <v>12500</v>
      </c>
      <c r="G18" s="20">
        <f>Liquidität!G16</f>
        <v>18500</v>
      </c>
      <c r="H18" s="20">
        <f>Liquidität!H16</f>
        <v>0</v>
      </c>
      <c r="I18" s="20">
        <f>Liquidität!I16</f>
        <v>0</v>
      </c>
      <c r="J18" s="20">
        <f>Liquidität!J16</f>
        <v>15000</v>
      </c>
      <c r="K18" s="20">
        <f>Liquidität!K16</f>
        <v>0</v>
      </c>
      <c r="L18" s="20">
        <f>Liquidität!L16</f>
        <v>0</v>
      </c>
      <c r="M18" s="20">
        <f>Liquidität!M16</f>
        <v>0</v>
      </c>
    </row>
    <row r="19" spans="1:13" x14ac:dyDescent="0.25">
      <c r="A19" s="19" t="s">
        <v>38</v>
      </c>
      <c r="B19" s="20">
        <f t="shared" ref="B19:M19" si="0">B13-B15-B17</f>
        <v>-13000</v>
      </c>
      <c r="C19" s="20">
        <f t="shared" si="0"/>
        <v>-21200</v>
      </c>
      <c r="D19" s="20">
        <f t="shared" si="0"/>
        <v>-42400</v>
      </c>
      <c r="E19" s="20">
        <f t="shared" si="0"/>
        <v>-27700</v>
      </c>
      <c r="F19" s="20">
        <f t="shared" si="0"/>
        <v>-30400</v>
      </c>
      <c r="G19" s="20">
        <f t="shared" si="0"/>
        <v>-41100</v>
      </c>
      <c r="H19" s="20">
        <f t="shared" si="0"/>
        <v>-21000</v>
      </c>
      <c r="I19" s="20">
        <f t="shared" si="0"/>
        <v>-10800</v>
      </c>
      <c r="J19" s="20">
        <f t="shared" si="0"/>
        <v>-36900</v>
      </c>
      <c r="K19" s="20">
        <f t="shared" si="0"/>
        <v>-26300</v>
      </c>
      <c r="L19" s="20">
        <f t="shared" si="0"/>
        <v>-18900</v>
      </c>
      <c r="M19" s="20">
        <f t="shared" si="0"/>
        <v>-19100</v>
      </c>
    </row>
    <row r="20" spans="1:13" x14ac:dyDescent="0.25">
      <c r="A20" s="19" t="s">
        <v>39</v>
      </c>
      <c r="B20" s="20">
        <f>Liquidität!B17</f>
        <v>-16400</v>
      </c>
      <c r="C20" s="20">
        <f>Liquidität!C17</f>
        <v>-23300</v>
      </c>
      <c r="D20" s="20">
        <f>Liquidität!D17</f>
        <v>-46100</v>
      </c>
      <c r="E20" s="20">
        <f>Liquidität!E17</f>
        <v>-26400</v>
      </c>
      <c r="F20" s="20">
        <f>Liquidität!F17</f>
        <v>-30400</v>
      </c>
      <c r="G20" s="20">
        <f>Liquidität!G17</f>
        <v>-41100</v>
      </c>
      <c r="H20" s="20">
        <f>Liquidität!H17</f>
        <v>-21000</v>
      </c>
      <c r="I20" s="20">
        <f>Liquidität!I17</f>
        <v>-10800</v>
      </c>
      <c r="J20" s="20">
        <f>Liquidität!J17</f>
        <v>-36900</v>
      </c>
      <c r="K20" s="20">
        <f>Liquidität!K17</f>
        <v>-26300</v>
      </c>
      <c r="L20" s="20">
        <f>Liquidität!L17</f>
        <v>-18900</v>
      </c>
      <c r="M20" s="20">
        <f>Liquidität!M17</f>
        <v>-19100</v>
      </c>
    </row>
    <row r="21" spans="1:13" x14ac:dyDescent="0.25">
      <c r="A21" s="19" t="s">
        <v>40</v>
      </c>
      <c r="B21" s="20">
        <f>Liquidität!B11</f>
        <v>337000</v>
      </c>
      <c r="C21" s="20">
        <f>Liquidität!C11</f>
        <v>315800</v>
      </c>
      <c r="D21" s="20">
        <f>Liquidität!D11</f>
        <v>273400</v>
      </c>
      <c r="E21" s="20">
        <f>Liquidität!E11</f>
        <v>245700</v>
      </c>
      <c r="F21" s="20">
        <f>Liquidität!F11</f>
        <v>215300</v>
      </c>
      <c r="G21" s="20">
        <f>Liquidität!G11</f>
        <v>174200</v>
      </c>
      <c r="H21" s="20">
        <f>Liquidität!H11</f>
        <v>153200</v>
      </c>
      <c r="I21" s="20">
        <f>Liquidität!I11</f>
        <v>142400</v>
      </c>
      <c r="J21" s="20">
        <f>Liquidität!J11</f>
        <v>105500</v>
      </c>
      <c r="K21" s="20">
        <f>Liquidität!K11</f>
        <v>79200</v>
      </c>
      <c r="L21" s="20">
        <f>Liquidität!L11</f>
        <v>60300</v>
      </c>
      <c r="M21" s="20">
        <f>Liquidität!M11</f>
        <v>41200</v>
      </c>
    </row>
    <row r="22" spans="1:13" x14ac:dyDescent="0.25">
      <c r="A22" s="19" t="s">
        <v>41</v>
      </c>
      <c r="B22" s="20">
        <f>Liquidität!B18</f>
        <v>333600</v>
      </c>
      <c r="C22" s="20">
        <f>Liquidität!C18</f>
        <v>310300</v>
      </c>
      <c r="D22" s="20">
        <f>Liquidität!D18</f>
        <v>264200</v>
      </c>
      <c r="E22" s="20">
        <f>Liquidität!E18</f>
        <v>237800</v>
      </c>
      <c r="F22" s="20">
        <f>Liquidität!F18</f>
        <v>207400</v>
      </c>
      <c r="G22" s="20">
        <f>Liquidität!G18</f>
        <v>166300</v>
      </c>
      <c r="H22" s="20">
        <f>Liquidität!H18</f>
        <v>145300</v>
      </c>
      <c r="I22" s="20">
        <f>Liquidität!I18</f>
        <v>134500</v>
      </c>
      <c r="J22" s="20">
        <f>Liquidität!J18</f>
        <v>97600</v>
      </c>
      <c r="K22" s="20">
        <f>Liquidität!K18</f>
        <v>71300</v>
      </c>
      <c r="L22" s="20">
        <f>Liquidität!L18</f>
        <v>52400</v>
      </c>
      <c r="M22" s="20">
        <f>Liquidität!M18</f>
        <v>33300</v>
      </c>
    </row>
    <row r="24" spans="1:13" x14ac:dyDescent="0.25">
      <c r="A24" s="2" t="s">
        <v>42</v>
      </c>
      <c r="B24" s="2" t="s">
        <v>43</v>
      </c>
      <c r="C24" s="2" t="s">
        <v>44</v>
      </c>
      <c r="D24" s="2" t="s">
        <v>45</v>
      </c>
      <c r="E24" s="2" t="s">
        <v>46</v>
      </c>
      <c r="G24" s="2" t="s">
        <v>12</v>
      </c>
      <c r="H24" s="2" t="s">
        <v>47</v>
      </c>
      <c r="I24" s="2" t="s">
        <v>48</v>
      </c>
      <c r="J24" s="2" t="s">
        <v>49</v>
      </c>
      <c r="K24" s="2" t="s">
        <v>50</v>
      </c>
      <c r="L24" s="2" t="s">
        <v>51</v>
      </c>
    </row>
    <row r="25" spans="1:13" x14ac:dyDescent="0.25">
      <c r="A25" s="3" t="s">
        <v>52</v>
      </c>
      <c r="B25" s="20">
        <f>SUMIFS('Budget &amp; Ist'!$AH$8:$AH$25,'Budget &amp; Ist'!$D$8:$D$25,A25)</f>
        <v>554900</v>
      </c>
      <c r="C25" s="20">
        <f>SUMIFS('Budget &amp; Ist'!$AI$8:$AI$25,'Budget &amp; Ist'!$D$8:$D$25,A25)</f>
        <v>583600</v>
      </c>
      <c r="D25" s="20">
        <f t="shared" ref="D25:D30" si="1">B25-C25</f>
        <v>-28700</v>
      </c>
      <c r="E25" s="28">
        <f t="shared" ref="E25:E30" si="2">IF(B25=0,0,D25/B25)</f>
        <v>-5.1721030816363311E-2</v>
      </c>
      <c r="G25" s="3" t="str">
        <f>Annahmen!D4</f>
        <v>Vorsichtig</v>
      </c>
      <c r="H25" s="20">
        <f>$F$5*Annahmen!E4</f>
        <v>1853340</v>
      </c>
      <c r="I25" s="20">
        <f>(SUM(B15:M15))*Annahmen!F4</f>
        <v>2359348</v>
      </c>
      <c r="J25" s="20">
        <f>(SUM(B17:M17))*Annahmen!G4</f>
        <v>87750</v>
      </c>
      <c r="K25" s="20">
        <f>H25-I25-J25</f>
        <v>-593758</v>
      </c>
      <c r="L25" s="20">
        <f>Annahmen!$B$7+K25</f>
        <v>-243758</v>
      </c>
    </row>
    <row r="26" spans="1:13" x14ac:dyDescent="0.25">
      <c r="A26" s="3" t="s">
        <v>53</v>
      </c>
      <c r="B26" s="20">
        <f>SUMIFS('Budget &amp; Ist'!$AH$8:$AH$25,'Budget &amp; Ist'!$D$8:$D$25,A26)</f>
        <v>288800</v>
      </c>
      <c r="C26" s="20">
        <f>SUMIFS('Budget &amp; Ist'!$AI$8:$AI$25,'Budget &amp; Ist'!$D$8:$D$25,A26)</f>
        <v>290700</v>
      </c>
      <c r="D26" s="20">
        <f t="shared" si="1"/>
        <v>-1900</v>
      </c>
      <c r="E26" s="28">
        <f t="shared" si="2"/>
        <v>-6.5789473684210523E-3</v>
      </c>
      <c r="G26" s="3" t="str">
        <f>Annahmen!D5</f>
        <v>Basis</v>
      </c>
      <c r="H26" s="20">
        <f>$F$5*Annahmen!E5</f>
        <v>2014500</v>
      </c>
      <c r="I26" s="20">
        <f>(SUM(B15:M15))*Annahmen!F5</f>
        <v>2225800</v>
      </c>
      <c r="J26" s="20">
        <f>(SUM(B17:M17))*Annahmen!G5</f>
        <v>97500</v>
      </c>
      <c r="K26" s="20">
        <f>H26-I26-J26</f>
        <v>-308800</v>
      </c>
      <c r="L26" s="20">
        <f>Annahmen!$B$7+K26</f>
        <v>41200</v>
      </c>
    </row>
    <row r="27" spans="1:13" x14ac:dyDescent="0.25">
      <c r="A27" s="3" t="s">
        <v>54</v>
      </c>
      <c r="B27" s="20">
        <f>SUMIFS('Budget &amp; Ist'!$AH$8:$AH$25,'Budget &amp; Ist'!$D$8:$D$25,A27)</f>
        <v>124000</v>
      </c>
      <c r="C27" s="20">
        <f>SUMIFS('Budget &amp; Ist'!$AI$8:$AI$25,'Budget &amp; Ist'!$D$8:$D$25,A27)</f>
        <v>150600</v>
      </c>
      <c r="D27" s="20">
        <f t="shared" si="1"/>
        <v>-26600</v>
      </c>
      <c r="E27" s="28">
        <f t="shared" si="2"/>
        <v>-0.21451612903225806</v>
      </c>
      <c r="G27" s="3" t="str">
        <f>Annahmen!D6</f>
        <v>Wachstum</v>
      </c>
      <c r="H27" s="20">
        <f>$F$5*Annahmen!E6</f>
        <v>2256240</v>
      </c>
      <c r="I27" s="20">
        <f>(SUM(B15:M15))*Annahmen!F6</f>
        <v>2314832</v>
      </c>
      <c r="J27" s="20">
        <f>(SUM(B17:M17))*Annahmen!G6</f>
        <v>112124.99999999999</v>
      </c>
      <c r="K27" s="20">
        <f>H27-I27-J27</f>
        <v>-170717</v>
      </c>
      <c r="L27" s="20">
        <f>Annahmen!$B$7+K27</f>
        <v>179283</v>
      </c>
    </row>
    <row r="28" spans="1:13" x14ac:dyDescent="0.25">
      <c r="A28" s="3" t="s">
        <v>55</v>
      </c>
      <c r="B28" s="20">
        <f>SUMIFS('Budget &amp; Ist'!$AH$8:$AH$25,'Budget &amp; Ist'!$D$8:$D$25,A28)</f>
        <v>41300</v>
      </c>
      <c r="C28" s="20">
        <f>SUMIFS('Budget &amp; Ist'!$AI$8:$AI$25,'Budget &amp; Ist'!$D$8:$D$25,A28)</f>
        <v>41700</v>
      </c>
      <c r="D28" s="20">
        <f t="shared" si="1"/>
        <v>-400</v>
      </c>
      <c r="E28" s="28">
        <f t="shared" si="2"/>
        <v>-9.6852300242130755E-3</v>
      </c>
    </row>
    <row r="29" spans="1:13" x14ac:dyDescent="0.25">
      <c r="A29" s="3" t="s">
        <v>56</v>
      </c>
      <c r="B29" s="20">
        <f>SUMIFS('Budget &amp; Ist'!$AH$8:$AH$25,'Budget &amp; Ist'!$D$8:$D$25,A29)</f>
        <v>250000</v>
      </c>
      <c r="C29" s="20">
        <f>SUMIFS('Budget &amp; Ist'!$AI$8:$AI$25,'Budget &amp; Ist'!$D$8:$D$25,A29)</f>
        <v>252500</v>
      </c>
      <c r="D29" s="20">
        <f t="shared" si="1"/>
        <v>-2500</v>
      </c>
      <c r="E29" s="28">
        <f t="shared" si="2"/>
        <v>-0.01</v>
      </c>
    </row>
    <row r="30" spans="1:13" x14ac:dyDescent="0.25">
      <c r="A30" s="3" t="s">
        <v>57</v>
      </c>
      <c r="B30" s="20">
        <f>SUMIFS('Budget &amp; Ist'!$AH$8:$AH$25,'Budget &amp; Ist'!$D$8:$D$25,A30)</f>
        <v>42300</v>
      </c>
      <c r="C30" s="20">
        <f>SUMIFS('Budget &amp; Ist'!$AI$8:$AI$25,'Budget &amp; Ist'!$D$8:$D$25,A30)</f>
        <v>42900</v>
      </c>
      <c r="D30" s="20">
        <f t="shared" si="1"/>
        <v>-600</v>
      </c>
      <c r="E30" s="28">
        <f t="shared" si="2"/>
        <v>-1.4184397163120567E-2</v>
      </c>
    </row>
  </sheetData>
  <mergeCells count="10">
    <mergeCell ref="A1:N1"/>
    <mergeCell ref="A3:D3"/>
    <mergeCell ref="F3:N3"/>
    <mergeCell ref="A11:M11"/>
    <mergeCell ref="B4:D4"/>
    <mergeCell ref="B5:D5"/>
    <mergeCell ref="B6:D6"/>
    <mergeCell ref="B7:D7"/>
    <mergeCell ref="B8:D8"/>
    <mergeCell ref="B9:D9"/>
  </mergeCells>
  <conditionalFormatting sqref="E25:E30">
    <cfRule type="dataBar" priority="1">
      <dataBar>
        <cfvo type="min"/>
        <cfvo type="max"/>
        <color rgb="FF0F766E"/>
      </dataBar>
    </cfRule>
    <cfRule type="dataBar" priority="3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{9C146CC0-49AA-2DB4-53FA-FCEE3279B5D4}</x14:id>
        </ext>
      </extLst>
    </cfRule>
  </conditionalFormatting>
  <conditionalFormatting sqref="K25:K27">
    <cfRule type="cellIs" dxfId="7" priority="2" operator="less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146CC0-49AA-2DB4-53FA-FCEE3279B5D4}">
            <x14:dataBar>
              <x14:cfvo type="min"/>
              <x14:cfvo type="max"/>
              <x14:negativeFillColor auto="1"/>
              <x14:axisColor auto="1"/>
            </x14:dataBar>
          </x14:cfRule>
          <xm:sqref>E25:E30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7"/>
  <sheetViews>
    <sheetView workbookViewId="0"/>
  </sheetViews>
  <sheetFormatPr baseColWidth="10" defaultColWidth="9" defaultRowHeight="15" x14ac:dyDescent="0.25"/>
  <cols>
    <col min="1" max="1" width="10" customWidth="1"/>
    <col min="2" max="2" width="14" customWidth="1"/>
    <col min="3" max="3" width="26" customWidth="1"/>
    <col min="4" max="4" width="16" customWidth="1"/>
    <col min="5" max="5" width="18" customWidth="1"/>
    <col min="6" max="6" width="12" customWidth="1"/>
    <col min="7" max="7" width="34" customWidth="1"/>
    <col min="8" max="31" width="12" customWidth="1"/>
    <col min="32" max="36" width="14" customWidth="1"/>
    <col min="37" max="37" width="11" customWidth="1"/>
    <col min="38" max="38" width="18" customWidth="1"/>
  </cols>
  <sheetData>
    <row r="1" spans="1:38" ht="27.95" customHeight="1" x14ac:dyDescent="0.25">
      <c r="A1" s="34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3" spans="1:38" ht="30" customHeight="1" x14ac:dyDescent="0.25">
      <c r="A3" s="35" t="s">
        <v>59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7" spans="1:38" ht="36" customHeight="1" x14ac:dyDescent="0.25">
      <c r="A7" s="12" t="s">
        <v>60</v>
      </c>
      <c r="B7" s="12" t="s">
        <v>61</v>
      </c>
      <c r="C7" s="12" t="s">
        <v>62</v>
      </c>
      <c r="D7" s="12" t="s">
        <v>42</v>
      </c>
      <c r="E7" s="12" t="s">
        <v>63</v>
      </c>
      <c r="F7" s="12" t="s">
        <v>64</v>
      </c>
      <c r="G7" s="12" t="s">
        <v>65</v>
      </c>
      <c r="H7" s="12" t="s">
        <v>66</v>
      </c>
      <c r="I7" s="12" t="s">
        <v>67</v>
      </c>
      <c r="J7" s="12" t="s">
        <v>68</v>
      </c>
      <c r="K7" s="12" t="s">
        <v>69</v>
      </c>
      <c r="L7" s="12" t="s">
        <v>70</v>
      </c>
      <c r="M7" s="12" t="s">
        <v>71</v>
      </c>
      <c r="N7" s="12" t="s">
        <v>72</v>
      </c>
      <c r="O7" s="12" t="s">
        <v>73</v>
      </c>
      <c r="P7" s="12" t="s">
        <v>74</v>
      </c>
      <c r="Q7" s="12" t="s">
        <v>75</v>
      </c>
      <c r="R7" s="12" t="s">
        <v>76</v>
      </c>
      <c r="S7" s="12" t="s">
        <v>77</v>
      </c>
      <c r="T7" s="12" t="s">
        <v>78</v>
      </c>
      <c r="U7" s="12" t="s">
        <v>79</v>
      </c>
      <c r="V7" s="12" t="s">
        <v>80</v>
      </c>
      <c r="W7" s="12" t="s">
        <v>81</v>
      </c>
      <c r="X7" s="12" t="s">
        <v>82</v>
      </c>
      <c r="Y7" s="12" t="s">
        <v>83</v>
      </c>
      <c r="Z7" s="12" t="s">
        <v>84</v>
      </c>
      <c r="AA7" s="12" t="s">
        <v>85</v>
      </c>
      <c r="AB7" s="12" t="s">
        <v>86</v>
      </c>
      <c r="AC7" s="12" t="s">
        <v>87</v>
      </c>
      <c r="AD7" s="12" t="s">
        <v>88</v>
      </c>
      <c r="AE7" s="12" t="s">
        <v>89</v>
      </c>
      <c r="AF7" s="12" t="s">
        <v>90</v>
      </c>
      <c r="AG7" s="12" t="s">
        <v>91</v>
      </c>
      <c r="AH7" s="12" t="s">
        <v>43</v>
      </c>
      <c r="AI7" s="12" t="s">
        <v>44</v>
      </c>
      <c r="AJ7" s="12" t="s">
        <v>92</v>
      </c>
      <c r="AK7" s="12" t="s">
        <v>46</v>
      </c>
      <c r="AL7" s="12" t="s">
        <v>93</v>
      </c>
    </row>
    <row r="8" spans="1:38" ht="21.95" customHeight="1" x14ac:dyDescent="0.25">
      <c r="A8" s="11" t="s">
        <v>94</v>
      </c>
      <c r="B8" s="11" t="s">
        <v>95</v>
      </c>
      <c r="C8" s="11" t="s">
        <v>96</v>
      </c>
      <c r="D8" s="11" t="s">
        <v>52</v>
      </c>
      <c r="E8" s="11" t="s">
        <v>97</v>
      </c>
      <c r="F8" s="11" t="s">
        <v>98</v>
      </c>
      <c r="G8" s="11" t="s">
        <v>99</v>
      </c>
      <c r="H8" s="13">
        <v>78000</v>
      </c>
      <c r="I8" s="13">
        <v>79400</v>
      </c>
      <c r="J8" s="13">
        <v>80800</v>
      </c>
      <c r="K8" s="13">
        <v>82300</v>
      </c>
      <c r="L8" s="13">
        <v>83800</v>
      </c>
      <c r="M8" s="13">
        <v>85300</v>
      </c>
      <c r="N8" s="13">
        <v>86800</v>
      </c>
      <c r="O8" s="13">
        <v>88400</v>
      </c>
      <c r="P8" s="13">
        <v>90000</v>
      </c>
      <c r="Q8" s="13">
        <v>91600</v>
      </c>
      <c r="R8" s="13">
        <v>93200</v>
      </c>
      <c r="S8" s="13">
        <v>94900</v>
      </c>
      <c r="T8" s="13">
        <v>83000</v>
      </c>
      <c r="U8" s="13">
        <v>84000</v>
      </c>
      <c r="V8" s="13">
        <v>89000</v>
      </c>
      <c r="W8" s="13">
        <v>88000</v>
      </c>
      <c r="X8" s="13"/>
      <c r="Y8" s="13"/>
      <c r="Z8" s="13"/>
      <c r="AA8" s="13"/>
      <c r="AB8" s="13"/>
      <c r="AC8" s="13"/>
      <c r="AD8" s="13"/>
      <c r="AE8" s="13"/>
      <c r="AF8" s="14">
        <f t="shared" ref="AF8:AF25" si="0">SUM(H8:S8)</f>
        <v>1034500</v>
      </c>
      <c r="AG8" s="14">
        <f t="shared" ref="AG8:AG25" si="1">SUM(T8:AE8)</f>
        <v>344000</v>
      </c>
      <c r="AH8" s="14">
        <f>SUM(H8:INDEX(H8:S8,1,Annahmen!$B$6))</f>
        <v>320500</v>
      </c>
      <c r="AI8" s="14">
        <f>SUM(T8:INDEX(T8:AE8,1,Annahmen!$B$6))</f>
        <v>344000</v>
      </c>
      <c r="AJ8" s="14">
        <f t="shared" ref="AJ8:AJ25" si="2">IF(OR(B8="Einzahlung",B8="Finanzierung"),AI8-AH8,AH8-AI8)</f>
        <v>23500</v>
      </c>
      <c r="AK8" s="15">
        <f t="shared" ref="AK8:AK25" si="3">IF(AH8=0,0,AJ8/AH8)</f>
        <v>7.3322932917316688E-2</v>
      </c>
      <c r="AL8" s="16" t="str">
        <f t="shared" ref="AL8:AL25" si="4">IF(AK8&gt;=0.05,"Besser als Plan",IF(AK8&gt;=-0.05,"Im Rahmen",IF(AK8&gt;=-0.15,"Prüfen","Handeln")))</f>
        <v>Besser als Plan</v>
      </c>
    </row>
    <row r="9" spans="1:38" ht="21.95" customHeight="1" x14ac:dyDescent="0.25">
      <c r="A9" s="11" t="s">
        <v>100</v>
      </c>
      <c r="B9" s="11" t="s">
        <v>95</v>
      </c>
      <c r="C9" s="11" t="s">
        <v>101</v>
      </c>
      <c r="D9" s="11" t="s">
        <v>52</v>
      </c>
      <c r="E9" s="11" t="s">
        <v>102</v>
      </c>
      <c r="F9" s="11" t="s">
        <v>98</v>
      </c>
      <c r="G9" s="11" t="s">
        <v>103</v>
      </c>
      <c r="H9" s="13">
        <v>36000</v>
      </c>
      <c r="I9" s="13">
        <v>38000</v>
      </c>
      <c r="J9" s="13">
        <v>42000</v>
      </c>
      <c r="K9" s="13">
        <v>39000</v>
      </c>
      <c r="L9" s="13">
        <v>45000</v>
      </c>
      <c r="M9" s="13">
        <v>48000</v>
      </c>
      <c r="N9" s="13">
        <v>50000</v>
      </c>
      <c r="O9" s="13">
        <v>49000</v>
      </c>
      <c r="P9" s="13">
        <v>53000</v>
      </c>
      <c r="Q9" s="13">
        <v>56000</v>
      </c>
      <c r="R9" s="13">
        <v>58000</v>
      </c>
      <c r="S9" s="13">
        <v>62000</v>
      </c>
      <c r="T9" s="13">
        <v>34600</v>
      </c>
      <c r="U9" s="13">
        <v>41000</v>
      </c>
      <c r="V9" s="13">
        <v>40700</v>
      </c>
      <c r="W9" s="13">
        <v>40200</v>
      </c>
      <c r="X9" s="13"/>
      <c r="Y9" s="13"/>
      <c r="Z9" s="13"/>
      <c r="AA9" s="13"/>
      <c r="AB9" s="13"/>
      <c r="AC9" s="13"/>
      <c r="AD9" s="13"/>
      <c r="AE9" s="13"/>
      <c r="AF9" s="14">
        <f t="shared" si="0"/>
        <v>576000</v>
      </c>
      <c r="AG9" s="14">
        <f t="shared" si="1"/>
        <v>156500</v>
      </c>
      <c r="AH9" s="14">
        <f>SUM(H9:INDEX(H9:S9,1,Annahmen!$B$6))</f>
        <v>155000</v>
      </c>
      <c r="AI9" s="14">
        <f>SUM(T9:INDEX(T9:AE9,1,Annahmen!$B$6))</f>
        <v>156500</v>
      </c>
      <c r="AJ9" s="14">
        <f t="shared" si="2"/>
        <v>1500</v>
      </c>
      <c r="AK9" s="15">
        <f t="shared" si="3"/>
        <v>9.6774193548387101E-3</v>
      </c>
      <c r="AL9" s="16" t="str">
        <f t="shared" si="4"/>
        <v>Im Rahmen</v>
      </c>
    </row>
    <row r="10" spans="1:38" ht="21.95" customHeight="1" x14ac:dyDescent="0.25">
      <c r="A10" s="11" t="s">
        <v>104</v>
      </c>
      <c r="B10" s="11" t="s">
        <v>95</v>
      </c>
      <c r="C10" s="11" t="s">
        <v>105</v>
      </c>
      <c r="D10" s="11" t="s">
        <v>54</v>
      </c>
      <c r="E10" s="11" t="s">
        <v>106</v>
      </c>
      <c r="F10" s="11" t="s">
        <v>98</v>
      </c>
      <c r="G10" s="11" t="s">
        <v>107</v>
      </c>
      <c r="H10" s="13">
        <v>12000</v>
      </c>
      <c r="I10" s="13">
        <v>9000</v>
      </c>
      <c r="J10" s="13">
        <v>15000</v>
      </c>
      <c r="K10" s="13">
        <v>13000</v>
      </c>
      <c r="L10" s="13">
        <v>16000</v>
      </c>
      <c r="M10" s="13">
        <v>14000</v>
      </c>
      <c r="N10" s="13">
        <v>12000</v>
      </c>
      <c r="O10" s="13">
        <v>15000</v>
      </c>
      <c r="P10" s="13">
        <v>18000</v>
      </c>
      <c r="Q10" s="13">
        <v>16000</v>
      </c>
      <c r="R10" s="13">
        <v>20000</v>
      </c>
      <c r="S10" s="13">
        <v>22000</v>
      </c>
      <c r="T10" s="13">
        <v>13000</v>
      </c>
      <c r="U10" s="13">
        <v>8700</v>
      </c>
      <c r="V10" s="13">
        <v>15400</v>
      </c>
      <c r="W10" s="13">
        <v>12500</v>
      </c>
      <c r="X10" s="13"/>
      <c r="Y10" s="13"/>
      <c r="Z10" s="13"/>
      <c r="AA10" s="13"/>
      <c r="AB10" s="13"/>
      <c r="AC10" s="13"/>
      <c r="AD10" s="13"/>
      <c r="AE10" s="13"/>
      <c r="AF10" s="14">
        <f t="shared" si="0"/>
        <v>182000</v>
      </c>
      <c r="AG10" s="14">
        <f t="shared" si="1"/>
        <v>49600</v>
      </c>
      <c r="AH10" s="14">
        <f>SUM(H10:INDEX(H10:S10,1,Annahmen!$B$6))</f>
        <v>49000</v>
      </c>
      <c r="AI10" s="14">
        <f>SUM(T10:INDEX(T10:AE10,1,Annahmen!$B$6))</f>
        <v>49600</v>
      </c>
      <c r="AJ10" s="14">
        <f t="shared" si="2"/>
        <v>600</v>
      </c>
      <c r="AK10" s="15">
        <f t="shared" si="3"/>
        <v>1.2244897959183673E-2</v>
      </c>
      <c r="AL10" s="16" t="str">
        <f t="shared" si="4"/>
        <v>Im Rahmen</v>
      </c>
    </row>
    <row r="11" spans="1:38" ht="21.95" customHeight="1" x14ac:dyDescent="0.25">
      <c r="A11" s="11" t="s">
        <v>108</v>
      </c>
      <c r="B11" s="11" t="s">
        <v>95</v>
      </c>
      <c r="C11" s="11" t="s">
        <v>109</v>
      </c>
      <c r="D11" s="11" t="s">
        <v>53</v>
      </c>
      <c r="E11" s="11" t="s">
        <v>110</v>
      </c>
      <c r="F11" s="11" t="s">
        <v>111</v>
      </c>
      <c r="G11" s="11" t="s">
        <v>112</v>
      </c>
      <c r="H11" s="13">
        <v>18500</v>
      </c>
      <c r="I11" s="13">
        <v>18500</v>
      </c>
      <c r="J11" s="13">
        <v>18500</v>
      </c>
      <c r="K11" s="13">
        <v>18500</v>
      </c>
      <c r="L11" s="13">
        <v>18500</v>
      </c>
      <c r="M11" s="13">
        <v>18500</v>
      </c>
      <c r="N11" s="13">
        <v>18500</v>
      </c>
      <c r="O11" s="13">
        <v>18500</v>
      </c>
      <c r="P11" s="13">
        <v>18500</v>
      </c>
      <c r="Q11" s="13">
        <v>18500</v>
      </c>
      <c r="R11" s="13">
        <v>18500</v>
      </c>
      <c r="S11" s="13">
        <v>18500</v>
      </c>
      <c r="T11" s="13">
        <v>17900</v>
      </c>
      <c r="U11" s="13">
        <v>19100</v>
      </c>
      <c r="V11" s="13">
        <v>17800</v>
      </c>
      <c r="W11" s="13">
        <v>20000</v>
      </c>
      <c r="X11" s="13"/>
      <c r="Y11" s="13"/>
      <c r="Z11" s="13"/>
      <c r="AA11" s="13"/>
      <c r="AB11" s="13"/>
      <c r="AC11" s="13"/>
      <c r="AD11" s="13"/>
      <c r="AE11" s="13"/>
      <c r="AF11" s="14">
        <f t="shared" si="0"/>
        <v>222000</v>
      </c>
      <c r="AG11" s="14">
        <f t="shared" si="1"/>
        <v>74800</v>
      </c>
      <c r="AH11" s="14">
        <f>SUM(H11:INDEX(H11:S11,1,Annahmen!$B$6))</f>
        <v>74000</v>
      </c>
      <c r="AI11" s="14">
        <f>SUM(T11:INDEX(T11:AE11,1,Annahmen!$B$6))</f>
        <v>74800</v>
      </c>
      <c r="AJ11" s="14">
        <f t="shared" si="2"/>
        <v>800</v>
      </c>
      <c r="AK11" s="15">
        <f t="shared" si="3"/>
        <v>1.0810810810810811E-2</v>
      </c>
      <c r="AL11" s="16" t="str">
        <f t="shared" si="4"/>
        <v>Im Rahmen</v>
      </c>
    </row>
    <row r="12" spans="1:38" ht="21.95" customHeight="1" x14ac:dyDescent="0.25">
      <c r="A12" s="11" t="s">
        <v>113</v>
      </c>
      <c r="B12" s="11" t="s">
        <v>114</v>
      </c>
      <c r="C12" s="11" t="s">
        <v>115</v>
      </c>
      <c r="D12" s="11" t="s">
        <v>56</v>
      </c>
      <c r="E12" s="11" t="s">
        <v>116</v>
      </c>
      <c r="F12" s="11" t="s">
        <v>111</v>
      </c>
      <c r="G12" s="11" t="s">
        <v>117</v>
      </c>
      <c r="H12" s="13">
        <v>62000</v>
      </c>
      <c r="I12" s="13">
        <v>62000</v>
      </c>
      <c r="J12" s="13">
        <v>62000</v>
      </c>
      <c r="K12" s="13">
        <v>64000</v>
      </c>
      <c r="L12" s="13">
        <v>64000</v>
      </c>
      <c r="M12" s="13">
        <v>64000</v>
      </c>
      <c r="N12" s="13">
        <v>66500</v>
      </c>
      <c r="O12" s="13">
        <v>66500</v>
      </c>
      <c r="P12" s="13">
        <v>66500</v>
      </c>
      <c r="Q12" s="13">
        <v>69000</v>
      </c>
      <c r="R12" s="13">
        <v>69000</v>
      </c>
      <c r="S12" s="13">
        <v>69000</v>
      </c>
      <c r="T12" s="13">
        <v>63900</v>
      </c>
      <c r="U12" s="13">
        <v>59500</v>
      </c>
      <c r="V12" s="13">
        <v>67000</v>
      </c>
      <c r="W12" s="13">
        <v>62100</v>
      </c>
      <c r="X12" s="13"/>
      <c r="Y12" s="13"/>
      <c r="Z12" s="13"/>
      <c r="AA12" s="13"/>
      <c r="AB12" s="13"/>
      <c r="AC12" s="13"/>
      <c r="AD12" s="13"/>
      <c r="AE12" s="13"/>
      <c r="AF12" s="14">
        <f t="shared" si="0"/>
        <v>784500</v>
      </c>
      <c r="AG12" s="14">
        <f t="shared" si="1"/>
        <v>252500</v>
      </c>
      <c r="AH12" s="14">
        <f>SUM(H12:INDEX(H12:S12,1,Annahmen!$B$6))</f>
        <v>250000</v>
      </c>
      <c r="AI12" s="14">
        <f>SUM(T12:INDEX(T12:AE12,1,Annahmen!$B$6))</f>
        <v>252500</v>
      </c>
      <c r="AJ12" s="14">
        <f t="shared" si="2"/>
        <v>-2500</v>
      </c>
      <c r="AK12" s="15">
        <f t="shared" si="3"/>
        <v>-0.01</v>
      </c>
      <c r="AL12" s="16" t="str">
        <f t="shared" si="4"/>
        <v>Im Rahmen</v>
      </c>
    </row>
    <row r="13" spans="1:38" ht="21.95" customHeight="1" x14ac:dyDescent="0.25">
      <c r="A13" s="11" t="s">
        <v>118</v>
      </c>
      <c r="B13" s="11" t="s">
        <v>114</v>
      </c>
      <c r="C13" s="11" t="s">
        <v>119</v>
      </c>
      <c r="D13" s="11" t="s">
        <v>53</v>
      </c>
      <c r="E13" s="11" t="s">
        <v>110</v>
      </c>
      <c r="F13" s="11" t="s">
        <v>98</v>
      </c>
      <c r="G13" s="11" t="s">
        <v>120</v>
      </c>
      <c r="H13" s="13">
        <v>14000</v>
      </c>
      <c r="I13" s="13">
        <v>16000</v>
      </c>
      <c r="J13" s="13">
        <v>18000</v>
      </c>
      <c r="K13" s="13">
        <v>15000</v>
      </c>
      <c r="L13" s="13">
        <v>17000</v>
      </c>
      <c r="M13" s="13">
        <v>20000</v>
      </c>
      <c r="N13" s="13">
        <v>21000</v>
      </c>
      <c r="O13" s="13">
        <v>18000</v>
      </c>
      <c r="P13" s="13">
        <v>22000</v>
      </c>
      <c r="Q13" s="13">
        <v>24000</v>
      </c>
      <c r="R13" s="13">
        <v>20000</v>
      </c>
      <c r="S13" s="13">
        <v>19000</v>
      </c>
      <c r="T13" s="13">
        <v>13400</v>
      </c>
      <c r="U13" s="13">
        <v>17300</v>
      </c>
      <c r="V13" s="13">
        <v>17500</v>
      </c>
      <c r="W13" s="13">
        <v>15400</v>
      </c>
      <c r="X13" s="13"/>
      <c r="Y13" s="13"/>
      <c r="Z13" s="13"/>
      <c r="AA13" s="13"/>
      <c r="AB13" s="13"/>
      <c r="AC13" s="13"/>
      <c r="AD13" s="13"/>
      <c r="AE13" s="13"/>
      <c r="AF13" s="14">
        <f t="shared" si="0"/>
        <v>224000</v>
      </c>
      <c r="AG13" s="14">
        <f t="shared" si="1"/>
        <v>63600</v>
      </c>
      <c r="AH13" s="14">
        <f>SUM(H13:INDEX(H13:S13,1,Annahmen!$B$6))</f>
        <v>63000</v>
      </c>
      <c r="AI13" s="14">
        <f>SUM(T13:INDEX(T13:AE13,1,Annahmen!$B$6))</f>
        <v>63600</v>
      </c>
      <c r="AJ13" s="14">
        <f t="shared" si="2"/>
        <v>-600</v>
      </c>
      <c r="AK13" s="15">
        <f t="shared" si="3"/>
        <v>-9.5238095238095247E-3</v>
      </c>
      <c r="AL13" s="16" t="str">
        <f t="shared" si="4"/>
        <v>Im Rahmen</v>
      </c>
    </row>
    <row r="14" spans="1:38" ht="21.95" customHeight="1" x14ac:dyDescent="0.25">
      <c r="A14" s="11" t="s">
        <v>121</v>
      </c>
      <c r="B14" s="11" t="s">
        <v>114</v>
      </c>
      <c r="C14" s="11" t="s">
        <v>122</v>
      </c>
      <c r="D14" s="11" t="s">
        <v>55</v>
      </c>
      <c r="E14" s="11" t="s">
        <v>116</v>
      </c>
      <c r="F14" s="11" t="s">
        <v>111</v>
      </c>
      <c r="G14" s="11" t="s">
        <v>123</v>
      </c>
      <c r="H14" s="13">
        <v>8200</v>
      </c>
      <c r="I14" s="13">
        <v>8200</v>
      </c>
      <c r="J14" s="13">
        <v>8200</v>
      </c>
      <c r="K14" s="13">
        <v>8200</v>
      </c>
      <c r="L14" s="13">
        <v>8200</v>
      </c>
      <c r="M14" s="13">
        <v>8200</v>
      </c>
      <c r="N14" s="13">
        <v>8200</v>
      </c>
      <c r="O14" s="13">
        <v>8200</v>
      </c>
      <c r="P14" s="13">
        <v>8200</v>
      </c>
      <c r="Q14" s="13">
        <v>8200</v>
      </c>
      <c r="R14" s="13">
        <v>8200</v>
      </c>
      <c r="S14" s="13">
        <v>8200</v>
      </c>
      <c r="T14" s="13">
        <v>8900</v>
      </c>
      <c r="U14" s="13">
        <v>8000</v>
      </c>
      <c r="V14" s="13">
        <v>8400</v>
      </c>
      <c r="W14" s="13">
        <v>7900</v>
      </c>
      <c r="X14" s="13"/>
      <c r="Y14" s="13"/>
      <c r="Z14" s="13"/>
      <c r="AA14" s="13"/>
      <c r="AB14" s="13"/>
      <c r="AC14" s="13"/>
      <c r="AD14" s="13"/>
      <c r="AE14" s="13"/>
      <c r="AF14" s="14">
        <f t="shared" si="0"/>
        <v>98400</v>
      </c>
      <c r="AG14" s="14">
        <f t="shared" si="1"/>
        <v>33200</v>
      </c>
      <c r="AH14" s="14">
        <f>SUM(H14:INDEX(H14:S14,1,Annahmen!$B$6))</f>
        <v>32800</v>
      </c>
      <c r="AI14" s="14">
        <f>SUM(T14:INDEX(T14:AE14,1,Annahmen!$B$6))</f>
        <v>33200</v>
      </c>
      <c r="AJ14" s="14">
        <f t="shared" si="2"/>
        <v>-400</v>
      </c>
      <c r="AK14" s="15">
        <f t="shared" si="3"/>
        <v>-1.2195121951219513E-2</v>
      </c>
      <c r="AL14" s="16" t="str">
        <f t="shared" si="4"/>
        <v>Im Rahmen</v>
      </c>
    </row>
    <row r="15" spans="1:38" ht="21.95" customHeight="1" x14ac:dyDescent="0.25">
      <c r="A15" s="11" t="s">
        <v>124</v>
      </c>
      <c r="B15" s="11" t="s">
        <v>114</v>
      </c>
      <c r="C15" s="11" t="s">
        <v>125</v>
      </c>
      <c r="D15" s="11" t="s">
        <v>53</v>
      </c>
      <c r="E15" s="11" t="s">
        <v>110</v>
      </c>
      <c r="F15" s="11" t="s">
        <v>111</v>
      </c>
      <c r="G15" s="11" t="s">
        <v>126</v>
      </c>
      <c r="H15" s="13">
        <v>9600</v>
      </c>
      <c r="I15" s="13">
        <v>9600</v>
      </c>
      <c r="J15" s="13">
        <v>9800</v>
      </c>
      <c r="K15" s="13">
        <v>9800</v>
      </c>
      <c r="L15" s="13">
        <v>10100</v>
      </c>
      <c r="M15" s="13">
        <v>10100</v>
      </c>
      <c r="N15" s="13">
        <v>10300</v>
      </c>
      <c r="O15" s="13">
        <v>10300</v>
      </c>
      <c r="P15" s="13">
        <v>10600</v>
      </c>
      <c r="Q15" s="13">
        <v>10600</v>
      </c>
      <c r="R15" s="13">
        <v>10800</v>
      </c>
      <c r="S15" s="13">
        <v>10800</v>
      </c>
      <c r="T15" s="13">
        <v>9300</v>
      </c>
      <c r="U15" s="13">
        <v>9900</v>
      </c>
      <c r="V15" s="13">
        <v>9400</v>
      </c>
      <c r="W15" s="13">
        <v>10600</v>
      </c>
      <c r="X15" s="13"/>
      <c r="Y15" s="13"/>
      <c r="Z15" s="13"/>
      <c r="AA15" s="13"/>
      <c r="AB15" s="13"/>
      <c r="AC15" s="13"/>
      <c r="AD15" s="13"/>
      <c r="AE15" s="13"/>
      <c r="AF15" s="14">
        <f t="shared" si="0"/>
        <v>122400</v>
      </c>
      <c r="AG15" s="14">
        <f t="shared" si="1"/>
        <v>39200</v>
      </c>
      <c r="AH15" s="14">
        <f>SUM(H15:INDEX(H15:S15,1,Annahmen!$B$6))</f>
        <v>38800</v>
      </c>
      <c r="AI15" s="14">
        <f>SUM(T15:INDEX(T15:AE15,1,Annahmen!$B$6))</f>
        <v>39200</v>
      </c>
      <c r="AJ15" s="14">
        <f t="shared" si="2"/>
        <v>-400</v>
      </c>
      <c r="AK15" s="15">
        <f t="shared" si="3"/>
        <v>-1.0309278350515464E-2</v>
      </c>
      <c r="AL15" s="16" t="str">
        <f t="shared" si="4"/>
        <v>Im Rahmen</v>
      </c>
    </row>
    <row r="16" spans="1:38" ht="21.95" customHeight="1" x14ac:dyDescent="0.25">
      <c r="A16" s="11" t="s">
        <v>127</v>
      </c>
      <c r="B16" s="11" t="s">
        <v>114</v>
      </c>
      <c r="C16" s="11" t="s">
        <v>128</v>
      </c>
      <c r="D16" s="11" t="s">
        <v>54</v>
      </c>
      <c r="E16" s="11" t="s">
        <v>106</v>
      </c>
      <c r="F16" s="11" t="s">
        <v>98</v>
      </c>
      <c r="G16" s="11" t="s">
        <v>129</v>
      </c>
      <c r="H16" s="13">
        <v>18000</v>
      </c>
      <c r="I16" s="13">
        <v>15000</v>
      </c>
      <c r="J16" s="13">
        <v>22000</v>
      </c>
      <c r="K16" s="13">
        <v>20000</v>
      </c>
      <c r="L16" s="13">
        <v>26000</v>
      </c>
      <c r="M16" s="13">
        <v>28000</v>
      </c>
      <c r="N16" s="13">
        <v>24000</v>
      </c>
      <c r="O16" s="13">
        <v>23000</v>
      </c>
      <c r="P16" s="13">
        <v>30000</v>
      </c>
      <c r="Q16" s="13">
        <v>32000</v>
      </c>
      <c r="R16" s="13">
        <v>34000</v>
      </c>
      <c r="S16" s="13">
        <v>38000</v>
      </c>
      <c r="T16" s="13">
        <v>24000</v>
      </c>
      <c r="U16" s="13">
        <v>23000</v>
      </c>
      <c r="V16" s="13">
        <v>28000</v>
      </c>
      <c r="W16" s="13">
        <v>26000</v>
      </c>
      <c r="X16" s="13"/>
      <c r="Y16" s="13"/>
      <c r="Z16" s="13"/>
      <c r="AA16" s="13"/>
      <c r="AB16" s="13"/>
      <c r="AC16" s="13"/>
      <c r="AD16" s="13"/>
      <c r="AE16" s="13"/>
      <c r="AF16" s="14">
        <f t="shared" si="0"/>
        <v>310000</v>
      </c>
      <c r="AG16" s="14">
        <f t="shared" si="1"/>
        <v>101000</v>
      </c>
      <c r="AH16" s="14">
        <f>SUM(H16:INDEX(H16:S16,1,Annahmen!$B$6))</f>
        <v>75000</v>
      </c>
      <c r="AI16" s="14">
        <f>SUM(T16:INDEX(T16:AE16,1,Annahmen!$B$6))</f>
        <v>101000</v>
      </c>
      <c r="AJ16" s="14">
        <f t="shared" si="2"/>
        <v>-26000</v>
      </c>
      <c r="AK16" s="15">
        <f t="shared" si="3"/>
        <v>-0.34666666666666668</v>
      </c>
      <c r="AL16" s="16" t="str">
        <f t="shared" si="4"/>
        <v>Handeln</v>
      </c>
    </row>
    <row r="17" spans="1:38" ht="21.95" customHeight="1" x14ac:dyDescent="0.25">
      <c r="A17" s="11" t="s">
        <v>130</v>
      </c>
      <c r="B17" s="11" t="s">
        <v>114</v>
      </c>
      <c r="C17" s="11" t="s">
        <v>131</v>
      </c>
      <c r="D17" s="11" t="s">
        <v>52</v>
      </c>
      <c r="E17" s="11" t="s">
        <v>97</v>
      </c>
      <c r="F17" s="11" t="s">
        <v>98</v>
      </c>
      <c r="G17" s="11" t="s">
        <v>132</v>
      </c>
      <c r="H17" s="13">
        <v>9000</v>
      </c>
      <c r="I17" s="13">
        <v>9500</v>
      </c>
      <c r="J17" s="13">
        <v>10000</v>
      </c>
      <c r="K17" s="13">
        <v>9800</v>
      </c>
      <c r="L17" s="13">
        <v>11000</v>
      </c>
      <c r="M17" s="13">
        <v>11500</v>
      </c>
      <c r="N17" s="13">
        <v>12000</v>
      </c>
      <c r="O17" s="13">
        <v>11800</v>
      </c>
      <c r="P17" s="13">
        <v>12500</v>
      </c>
      <c r="Q17" s="13">
        <v>13000</v>
      </c>
      <c r="R17" s="13">
        <v>13800</v>
      </c>
      <c r="S17" s="13">
        <v>14500</v>
      </c>
      <c r="T17" s="13">
        <v>8600</v>
      </c>
      <c r="U17" s="13">
        <v>10300</v>
      </c>
      <c r="V17" s="13">
        <v>9700</v>
      </c>
      <c r="W17" s="13">
        <v>10100</v>
      </c>
      <c r="X17" s="13"/>
      <c r="Y17" s="13"/>
      <c r="Z17" s="13"/>
      <c r="AA17" s="13"/>
      <c r="AB17" s="13"/>
      <c r="AC17" s="13"/>
      <c r="AD17" s="13"/>
      <c r="AE17" s="13"/>
      <c r="AF17" s="14">
        <f t="shared" si="0"/>
        <v>138400</v>
      </c>
      <c r="AG17" s="14">
        <f t="shared" si="1"/>
        <v>38700</v>
      </c>
      <c r="AH17" s="14">
        <f>SUM(H17:INDEX(H17:S17,1,Annahmen!$B$6))</f>
        <v>38300</v>
      </c>
      <c r="AI17" s="14">
        <f>SUM(T17:INDEX(T17:AE17,1,Annahmen!$B$6))</f>
        <v>38700</v>
      </c>
      <c r="AJ17" s="14">
        <f t="shared" si="2"/>
        <v>-400</v>
      </c>
      <c r="AK17" s="15">
        <f t="shared" si="3"/>
        <v>-1.0443864229765013E-2</v>
      </c>
      <c r="AL17" s="16" t="str">
        <f t="shared" si="4"/>
        <v>Im Rahmen</v>
      </c>
    </row>
    <row r="18" spans="1:38" ht="21.95" customHeight="1" x14ac:dyDescent="0.25">
      <c r="A18" s="11" t="s">
        <v>133</v>
      </c>
      <c r="B18" s="11" t="s">
        <v>114</v>
      </c>
      <c r="C18" s="11" t="s">
        <v>134</v>
      </c>
      <c r="D18" s="11" t="s">
        <v>57</v>
      </c>
      <c r="E18" s="11" t="s">
        <v>102</v>
      </c>
      <c r="F18" s="11" t="s">
        <v>111</v>
      </c>
      <c r="G18" s="11" t="s">
        <v>135</v>
      </c>
      <c r="H18" s="13">
        <v>4600</v>
      </c>
      <c r="I18" s="13">
        <v>4600</v>
      </c>
      <c r="J18" s="13">
        <v>5200</v>
      </c>
      <c r="K18" s="13">
        <v>4600</v>
      </c>
      <c r="L18" s="13">
        <v>4600</v>
      </c>
      <c r="M18" s="13">
        <v>5200</v>
      </c>
      <c r="N18" s="13">
        <v>4600</v>
      </c>
      <c r="O18" s="13">
        <v>4600</v>
      </c>
      <c r="P18" s="13">
        <v>5200</v>
      </c>
      <c r="Q18" s="13">
        <v>4600</v>
      </c>
      <c r="R18" s="13">
        <v>4600</v>
      </c>
      <c r="S18" s="13">
        <v>6200</v>
      </c>
      <c r="T18" s="13">
        <v>5000</v>
      </c>
      <c r="U18" s="13">
        <v>4500</v>
      </c>
      <c r="V18" s="13">
        <v>5400</v>
      </c>
      <c r="W18" s="13">
        <v>4400</v>
      </c>
      <c r="X18" s="13"/>
      <c r="Y18" s="13"/>
      <c r="Z18" s="13"/>
      <c r="AA18" s="13"/>
      <c r="AB18" s="13"/>
      <c r="AC18" s="13"/>
      <c r="AD18" s="13"/>
      <c r="AE18" s="13"/>
      <c r="AF18" s="14">
        <f t="shared" si="0"/>
        <v>58600</v>
      </c>
      <c r="AG18" s="14">
        <f t="shared" si="1"/>
        <v>19300</v>
      </c>
      <c r="AH18" s="14">
        <f>SUM(H18:INDEX(H18:S18,1,Annahmen!$B$6))</f>
        <v>19000</v>
      </c>
      <c r="AI18" s="14">
        <f>SUM(T18:INDEX(T18:AE18,1,Annahmen!$B$6))</f>
        <v>19300</v>
      </c>
      <c r="AJ18" s="14">
        <f t="shared" si="2"/>
        <v>-300</v>
      </c>
      <c r="AK18" s="15">
        <f t="shared" si="3"/>
        <v>-1.5789473684210527E-2</v>
      </c>
      <c r="AL18" s="16" t="str">
        <f t="shared" si="4"/>
        <v>Im Rahmen</v>
      </c>
    </row>
    <row r="19" spans="1:38" ht="21.95" customHeight="1" x14ac:dyDescent="0.25">
      <c r="A19" s="11" t="s">
        <v>136</v>
      </c>
      <c r="B19" s="11" t="s">
        <v>114</v>
      </c>
      <c r="C19" s="11" t="s">
        <v>137</v>
      </c>
      <c r="D19" s="11" t="s">
        <v>55</v>
      </c>
      <c r="E19" s="11" t="s">
        <v>116</v>
      </c>
      <c r="F19" s="11" t="s">
        <v>111</v>
      </c>
      <c r="G19" s="11" t="s">
        <v>138</v>
      </c>
      <c r="H19" s="13">
        <v>3100</v>
      </c>
      <c r="I19" s="13">
        <v>1800</v>
      </c>
      <c r="J19" s="13">
        <v>1800</v>
      </c>
      <c r="K19" s="13">
        <v>1800</v>
      </c>
      <c r="L19" s="13">
        <v>3100</v>
      </c>
      <c r="M19" s="13">
        <v>1800</v>
      </c>
      <c r="N19" s="13">
        <v>1800</v>
      </c>
      <c r="O19" s="13">
        <v>1800</v>
      </c>
      <c r="P19" s="13">
        <v>3100</v>
      </c>
      <c r="Q19" s="13">
        <v>1800</v>
      </c>
      <c r="R19" s="13">
        <v>1800</v>
      </c>
      <c r="S19" s="13">
        <v>1800</v>
      </c>
      <c r="T19" s="13">
        <v>3000</v>
      </c>
      <c r="U19" s="13">
        <v>1900</v>
      </c>
      <c r="V19" s="13">
        <v>1700</v>
      </c>
      <c r="W19" s="13">
        <v>1900</v>
      </c>
      <c r="X19" s="13"/>
      <c r="Y19" s="13"/>
      <c r="Z19" s="13"/>
      <c r="AA19" s="13"/>
      <c r="AB19" s="13"/>
      <c r="AC19" s="13"/>
      <c r="AD19" s="13"/>
      <c r="AE19" s="13"/>
      <c r="AF19" s="14">
        <f t="shared" si="0"/>
        <v>25500</v>
      </c>
      <c r="AG19" s="14">
        <f t="shared" si="1"/>
        <v>8500</v>
      </c>
      <c r="AH19" s="14">
        <f>SUM(H19:INDEX(H19:S19,1,Annahmen!$B$6))</f>
        <v>8500</v>
      </c>
      <c r="AI19" s="14">
        <f>SUM(T19:INDEX(T19:AE19,1,Annahmen!$B$6))</f>
        <v>8500</v>
      </c>
      <c r="AJ19" s="14">
        <f t="shared" si="2"/>
        <v>0</v>
      </c>
      <c r="AK19" s="15">
        <f t="shared" si="3"/>
        <v>0</v>
      </c>
      <c r="AL19" s="16" t="str">
        <f t="shared" si="4"/>
        <v>Im Rahmen</v>
      </c>
    </row>
    <row r="20" spans="1:38" ht="21.95" customHeight="1" x14ac:dyDescent="0.25">
      <c r="A20" s="11" t="s">
        <v>139</v>
      </c>
      <c r="B20" s="11" t="s">
        <v>114</v>
      </c>
      <c r="C20" s="11" t="s">
        <v>140</v>
      </c>
      <c r="D20" s="11" t="s">
        <v>52</v>
      </c>
      <c r="E20" s="11" t="s">
        <v>97</v>
      </c>
      <c r="F20" s="11" t="s">
        <v>98</v>
      </c>
      <c r="G20" s="11" t="s">
        <v>141</v>
      </c>
      <c r="H20" s="13">
        <v>2800</v>
      </c>
      <c r="I20" s="13">
        <v>3200</v>
      </c>
      <c r="J20" s="13">
        <v>4500</v>
      </c>
      <c r="K20" s="13">
        <v>3600</v>
      </c>
      <c r="L20" s="13">
        <v>5000</v>
      </c>
      <c r="M20" s="13">
        <v>5400</v>
      </c>
      <c r="N20" s="13">
        <v>4200</v>
      </c>
      <c r="O20" s="13">
        <v>3300</v>
      </c>
      <c r="P20" s="13">
        <v>5600</v>
      </c>
      <c r="Q20" s="13">
        <v>6000</v>
      </c>
      <c r="R20" s="13">
        <v>5200</v>
      </c>
      <c r="S20" s="13">
        <v>4800</v>
      </c>
      <c r="T20" s="13">
        <v>3200</v>
      </c>
      <c r="U20" s="13">
        <v>4200</v>
      </c>
      <c r="V20" s="13">
        <v>5400</v>
      </c>
      <c r="W20" s="13">
        <v>4600</v>
      </c>
      <c r="X20" s="13"/>
      <c r="Y20" s="13"/>
      <c r="Z20" s="13"/>
      <c r="AA20" s="13"/>
      <c r="AB20" s="13"/>
      <c r="AC20" s="13"/>
      <c r="AD20" s="13"/>
      <c r="AE20" s="13"/>
      <c r="AF20" s="14">
        <f t="shared" si="0"/>
        <v>53600</v>
      </c>
      <c r="AG20" s="14">
        <f t="shared" si="1"/>
        <v>17400</v>
      </c>
      <c r="AH20" s="14">
        <f>SUM(H20:INDEX(H20:S20,1,Annahmen!$B$6))</f>
        <v>14100</v>
      </c>
      <c r="AI20" s="14">
        <f>SUM(T20:INDEX(T20:AE20,1,Annahmen!$B$6))</f>
        <v>17400</v>
      </c>
      <c r="AJ20" s="14">
        <f t="shared" si="2"/>
        <v>-3300</v>
      </c>
      <c r="AK20" s="15">
        <f t="shared" si="3"/>
        <v>-0.23404255319148937</v>
      </c>
      <c r="AL20" s="16" t="str">
        <f t="shared" si="4"/>
        <v>Handeln</v>
      </c>
    </row>
    <row r="21" spans="1:38" ht="21.95" customHeight="1" x14ac:dyDescent="0.25">
      <c r="A21" s="11" t="s">
        <v>142</v>
      </c>
      <c r="B21" s="11" t="s">
        <v>114</v>
      </c>
      <c r="C21" s="11" t="s">
        <v>143</v>
      </c>
      <c r="D21" s="11" t="s">
        <v>53</v>
      </c>
      <c r="E21" s="11" t="s">
        <v>110</v>
      </c>
      <c r="F21" s="11" t="s">
        <v>98</v>
      </c>
      <c r="G21" s="11" t="s">
        <v>144</v>
      </c>
      <c r="H21" s="13">
        <v>22000</v>
      </c>
      <c r="I21" s="13">
        <v>23000</v>
      </c>
      <c r="J21" s="13">
        <v>26000</v>
      </c>
      <c r="K21" s="13">
        <v>24000</v>
      </c>
      <c r="L21" s="13">
        <v>28000</v>
      </c>
      <c r="M21" s="13">
        <v>30000</v>
      </c>
      <c r="N21" s="13">
        <v>31500</v>
      </c>
      <c r="O21" s="13">
        <v>30000</v>
      </c>
      <c r="P21" s="13">
        <v>33500</v>
      </c>
      <c r="Q21" s="13">
        <v>35000</v>
      </c>
      <c r="R21" s="13">
        <v>37000</v>
      </c>
      <c r="S21" s="13">
        <v>40000</v>
      </c>
      <c r="T21" s="13">
        <v>21100</v>
      </c>
      <c r="U21" s="13">
        <v>24800</v>
      </c>
      <c r="V21" s="13">
        <v>25200</v>
      </c>
      <c r="W21" s="13">
        <v>24700</v>
      </c>
      <c r="X21" s="13"/>
      <c r="Y21" s="13"/>
      <c r="Z21" s="13"/>
      <c r="AA21" s="13"/>
      <c r="AB21" s="13"/>
      <c r="AC21" s="13"/>
      <c r="AD21" s="13"/>
      <c r="AE21" s="13"/>
      <c r="AF21" s="14">
        <f t="shared" si="0"/>
        <v>360000</v>
      </c>
      <c r="AG21" s="14">
        <f t="shared" si="1"/>
        <v>95800</v>
      </c>
      <c r="AH21" s="14">
        <f>SUM(H21:INDEX(H21:S21,1,Annahmen!$B$6))</f>
        <v>95000</v>
      </c>
      <c r="AI21" s="14">
        <f>SUM(T21:INDEX(T21:AE21,1,Annahmen!$B$6))</f>
        <v>95800</v>
      </c>
      <c r="AJ21" s="14">
        <f t="shared" si="2"/>
        <v>-800</v>
      </c>
      <c r="AK21" s="15">
        <f t="shared" si="3"/>
        <v>-8.4210526315789472E-3</v>
      </c>
      <c r="AL21" s="16" t="str">
        <f t="shared" si="4"/>
        <v>Im Rahmen</v>
      </c>
    </row>
    <row r="22" spans="1:38" ht="21.95" customHeight="1" x14ac:dyDescent="0.25">
      <c r="A22" s="11" t="s">
        <v>145</v>
      </c>
      <c r="B22" s="11" t="s">
        <v>114</v>
      </c>
      <c r="C22" s="11" t="s">
        <v>146</v>
      </c>
      <c r="D22" s="11" t="s">
        <v>57</v>
      </c>
      <c r="E22" s="11" t="s">
        <v>102</v>
      </c>
      <c r="F22" s="11" t="s">
        <v>111</v>
      </c>
      <c r="G22" s="11" t="s">
        <v>147</v>
      </c>
      <c r="H22" s="13">
        <v>4200</v>
      </c>
      <c r="I22" s="13">
        <v>4200</v>
      </c>
      <c r="J22" s="13">
        <v>4200</v>
      </c>
      <c r="K22" s="13">
        <v>4200</v>
      </c>
      <c r="L22" s="13">
        <v>4200</v>
      </c>
      <c r="M22" s="13">
        <v>4200</v>
      </c>
      <c r="N22" s="13">
        <v>4200</v>
      </c>
      <c r="O22" s="13">
        <v>4200</v>
      </c>
      <c r="P22" s="13">
        <v>4200</v>
      </c>
      <c r="Q22" s="13">
        <v>4200</v>
      </c>
      <c r="R22" s="13">
        <v>4200</v>
      </c>
      <c r="S22" s="13">
        <v>4200</v>
      </c>
      <c r="T22" s="13">
        <v>4500</v>
      </c>
      <c r="U22" s="13">
        <v>4100</v>
      </c>
      <c r="V22" s="13">
        <v>4300</v>
      </c>
      <c r="W22" s="13">
        <v>4000</v>
      </c>
      <c r="X22" s="13"/>
      <c r="Y22" s="13"/>
      <c r="Z22" s="13"/>
      <c r="AA22" s="13"/>
      <c r="AB22" s="13"/>
      <c r="AC22" s="13"/>
      <c r="AD22" s="13"/>
      <c r="AE22" s="13"/>
      <c r="AF22" s="14">
        <f t="shared" si="0"/>
        <v>50400</v>
      </c>
      <c r="AG22" s="14">
        <f t="shared" si="1"/>
        <v>16900</v>
      </c>
      <c r="AH22" s="14">
        <f>SUM(H22:INDEX(H22:S22,1,Annahmen!$B$6))</f>
        <v>16800</v>
      </c>
      <c r="AI22" s="14">
        <f>SUM(T22:INDEX(T22:AE22,1,Annahmen!$B$6))</f>
        <v>16900</v>
      </c>
      <c r="AJ22" s="14">
        <f t="shared" si="2"/>
        <v>-100</v>
      </c>
      <c r="AK22" s="15">
        <f t="shared" si="3"/>
        <v>-5.9523809523809521E-3</v>
      </c>
      <c r="AL22" s="16" t="str">
        <f t="shared" si="4"/>
        <v>Im Rahmen</v>
      </c>
    </row>
    <row r="23" spans="1:38" ht="21.95" customHeight="1" x14ac:dyDescent="0.25">
      <c r="A23" s="11" t="s">
        <v>148</v>
      </c>
      <c r="B23" s="11" t="s">
        <v>149</v>
      </c>
      <c r="C23" s="11" t="s">
        <v>150</v>
      </c>
      <c r="D23" s="11" t="s">
        <v>53</v>
      </c>
      <c r="E23" s="11" t="s">
        <v>110</v>
      </c>
      <c r="F23" s="11" t="s">
        <v>111</v>
      </c>
      <c r="G23" s="11" t="s">
        <v>151</v>
      </c>
      <c r="H23" s="13">
        <v>0</v>
      </c>
      <c r="I23" s="13">
        <v>0</v>
      </c>
      <c r="J23" s="13">
        <v>18000</v>
      </c>
      <c r="K23" s="13">
        <v>0</v>
      </c>
      <c r="L23" s="13">
        <v>0</v>
      </c>
      <c r="M23" s="13">
        <v>12000</v>
      </c>
      <c r="N23" s="13">
        <v>0</v>
      </c>
      <c r="O23" s="13">
        <v>0</v>
      </c>
      <c r="P23" s="13">
        <v>15000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17300</v>
      </c>
      <c r="W23" s="13">
        <v>0</v>
      </c>
      <c r="X23" s="13"/>
      <c r="Y23" s="13"/>
      <c r="Z23" s="13"/>
      <c r="AA23" s="13"/>
      <c r="AB23" s="13"/>
      <c r="AC23" s="13"/>
      <c r="AD23" s="13"/>
      <c r="AE23" s="13"/>
      <c r="AF23" s="14">
        <f t="shared" si="0"/>
        <v>45000</v>
      </c>
      <c r="AG23" s="14">
        <f t="shared" si="1"/>
        <v>17300</v>
      </c>
      <c r="AH23" s="14">
        <f>SUM(H23:INDEX(H23:S23,1,Annahmen!$B$6))</f>
        <v>18000</v>
      </c>
      <c r="AI23" s="14">
        <f>SUM(T23:INDEX(T23:AE23,1,Annahmen!$B$6))</f>
        <v>17300</v>
      </c>
      <c r="AJ23" s="14">
        <f t="shared" si="2"/>
        <v>700</v>
      </c>
      <c r="AK23" s="15">
        <f t="shared" si="3"/>
        <v>3.888888888888889E-2</v>
      </c>
      <c r="AL23" s="16" t="str">
        <f t="shared" si="4"/>
        <v>Im Rahmen</v>
      </c>
    </row>
    <row r="24" spans="1:38" ht="21.95" customHeight="1" x14ac:dyDescent="0.25">
      <c r="A24" s="11" t="s">
        <v>152</v>
      </c>
      <c r="B24" s="11" t="s">
        <v>149</v>
      </c>
      <c r="C24" s="11" t="s">
        <v>153</v>
      </c>
      <c r="D24" s="11" t="s">
        <v>52</v>
      </c>
      <c r="E24" s="11" t="s">
        <v>97</v>
      </c>
      <c r="F24" s="11" t="s">
        <v>111</v>
      </c>
      <c r="G24" s="11" t="s">
        <v>154</v>
      </c>
      <c r="H24" s="13">
        <v>0</v>
      </c>
      <c r="I24" s="13">
        <v>9000</v>
      </c>
      <c r="J24" s="13">
        <v>9000</v>
      </c>
      <c r="K24" s="13">
        <v>9000</v>
      </c>
      <c r="L24" s="13">
        <v>6000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8600</v>
      </c>
      <c r="V24" s="13">
        <v>9700</v>
      </c>
      <c r="W24" s="13">
        <v>8700</v>
      </c>
      <c r="X24" s="13"/>
      <c r="Y24" s="13"/>
      <c r="Z24" s="13"/>
      <c r="AA24" s="13"/>
      <c r="AB24" s="13"/>
      <c r="AC24" s="13"/>
      <c r="AD24" s="13"/>
      <c r="AE24" s="13"/>
      <c r="AF24" s="14">
        <f t="shared" si="0"/>
        <v>33000</v>
      </c>
      <c r="AG24" s="14">
        <f t="shared" si="1"/>
        <v>27000</v>
      </c>
      <c r="AH24" s="14">
        <f>SUM(H24:INDEX(H24:S24,1,Annahmen!$B$6))</f>
        <v>27000</v>
      </c>
      <c r="AI24" s="14">
        <f>SUM(T24:INDEX(T24:AE24,1,Annahmen!$B$6))</f>
        <v>27000</v>
      </c>
      <c r="AJ24" s="14">
        <f t="shared" si="2"/>
        <v>0</v>
      </c>
      <c r="AK24" s="15">
        <f t="shared" si="3"/>
        <v>0</v>
      </c>
      <c r="AL24" s="16" t="str">
        <f t="shared" si="4"/>
        <v>Im Rahmen</v>
      </c>
    </row>
    <row r="25" spans="1:38" ht="21.95" customHeight="1" x14ac:dyDescent="0.25">
      <c r="A25" s="11" t="s">
        <v>155</v>
      </c>
      <c r="B25" s="11" t="s">
        <v>149</v>
      </c>
      <c r="C25" s="11" t="s">
        <v>156</v>
      </c>
      <c r="D25" s="11" t="s">
        <v>57</v>
      </c>
      <c r="E25" s="11" t="s">
        <v>102</v>
      </c>
      <c r="F25" s="11" t="s">
        <v>111</v>
      </c>
      <c r="G25" s="11" t="s">
        <v>157</v>
      </c>
      <c r="H25" s="13">
        <v>0</v>
      </c>
      <c r="I25" s="13">
        <v>0</v>
      </c>
      <c r="J25" s="13">
        <v>0</v>
      </c>
      <c r="K25" s="13">
        <v>6500</v>
      </c>
      <c r="L25" s="13">
        <v>6500</v>
      </c>
      <c r="M25" s="13">
        <v>6500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6700</v>
      </c>
      <c r="X25" s="13"/>
      <c r="Y25" s="13"/>
      <c r="Z25" s="13"/>
      <c r="AA25" s="13"/>
      <c r="AB25" s="13"/>
      <c r="AC25" s="13"/>
      <c r="AD25" s="13"/>
      <c r="AE25" s="13"/>
      <c r="AF25" s="14">
        <f t="shared" si="0"/>
        <v>19500</v>
      </c>
      <c r="AG25" s="14">
        <f t="shared" si="1"/>
        <v>6700</v>
      </c>
      <c r="AH25" s="14">
        <f>SUM(H25:INDEX(H25:S25,1,Annahmen!$B$6))</f>
        <v>6500</v>
      </c>
      <c r="AI25" s="14">
        <f>SUM(T25:INDEX(T25:AE25,1,Annahmen!$B$6))</f>
        <v>6700</v>
      </c>
      <c r="AJ25" s="14">
        <f t="shared" si="2"/>
        <v>-200</v>
      </c>
      <c r="AK25" s="15">
        <f t="shared" si="3"/>
        <v>-3.0769230769230771E-2</v>
      </c>
      <c r="AL25" s="16" t="str">
        <f t="shared" si="4"/>
        <v>Im Rahmen</v>
      </c>
    </row>
    <row r="27" spans="1:38" x14ac:dyDescent="0.25">
      <c r="A27" s="17"/>
      <c r="B27" s="17"/>
      <c r="C27" s="17"/>
      <c r="D27" s="17"/>
      <c r="E27" s="17"/>
      <c r="F27" s="17"/>
      <c r="G27" s="17" t="s">
        <v>158</v>
      </c>
      <c r="H27" s="17">
        <f t="shared" ref="H27:AJ27" si="5">SUM(H8:H25)</f>
        <v>302000</v>
      </c>
      <c r="I27" s="17">
        <f t="shared" si="5"/>
        <v>311000</v>
      </c>
      <c r="J27" s="17">
        <f t="shared" si="5"/>
        <v>355000</v>
      </c>
      <c r="K27" s="17">
        <f t="shared" si="5"/>
        <v>333300</v>
      </c>
      <c r="L27" s="17">
        <f t="shared" si="5"/>
        <v>357000</v>
      </c>
      <c r="M27" s="17">
        <f t="shared" si="5"/>
        <v>372700</v>
      </c>
      <c r="N27" s="17">
        <f t="shared" si="5"/>
        <v>355600</v>
      </c>
      <c r="O27" s="17">
        <f t="shared" si="5"/>
        <v>352600</v>
      </c>
      <c r="P27" s="17">
        <f t="shared" si="5"/>
        <v>395900</v>
      </c>
      <c r="Q27" s="17">
        <f t="shared" si="5"/>
        <v>390500</v>
      </c>
      <c r="R27" s="17">
        <f t="shared" si="5"/>
        <v>398300</v>
      </c>
      <c r="S27" s="17">
        <f t="shared" si="5"/>
        <v>413900</v>
      </c>
      <c r="T27" s="17">
        <f t="shared" si="5"/>
        <v>313400</v>
      </c>
      <c r="U27" s="17">
        <f t="shared" si="5"/>
        <v>328900</v>
      </c>
      <c r="V27" s="17">
        <f t="shared" si="5"/>
        <v>371900</v>
      </c>
      <c r="W27" s="17">
        <f t="shared" si="5"/>
        <v>347800</v>
      </c>
      <c r="X27" s="17">
        <f t="shared" si="5"/>
        <v>0</v>
      </c>
      <c r="Y27" s="17">
        <f t="shared" si="5"/>
        <v>0</v>
      </c>
      <c r="Z27" s="17">
        <f t="shared" si="5"/>
        <v>0</v>
      </c>
      <c r="AA27" s="17">
        <f t="shared" si="5"/>
        <v>0</v>
      </c>
      <c r="AB27" s="17">
        <f t="shared" si="5"/>
        <v>0</v>
      </c>
      <c r="AC27" s="17">
        <f t="shared" si="5"/>
        <v>0</v>
      </c>
      <c r="AD27" s="17">
        <f t="shared" si="5"/>
        <v>0</v>
      </c>
      <c r="AE27" s="17">
        <f t="shared" si="5"/>
        <v>0</v>
      </c>
      <c r="AF27" s="17">
        <f t="shared" si="5"/>
        <v>4337800</v>
      </c>
      <c r="AG27" s="17">
        <f t="shared" si="5"/>
        <v>1362000</v>
      </c>
      <c r="AH27" s="17">
        <f t="shared" si="5"/>
        <v>1301300</v>
      </c>
      <c r="AI27" s="17">
        <f t="shared" si="5"/>
        <v>1362000</v>
      </c>
      <c r="AJ27" s="17">
        <f t="shared" si="5"/>
        <v>-7900</v>
      </c>
      <c r="AK27" s="18">
        <f>IF(AH27=0,0,AJ27/AH27)</f>
        <v>-6.0708522246983787E-3</v>
      </c>
      <c r="AL27" s="17"/>
    </row>
  </sheetData>
  <mergeCells count="2">
    <mergeCell ref="A1:AL1"/>
    <mergeCell ref="A3:AL3"/>
  </mergeCells>
  <conditionalFormatting sqref="AJ8:AJ25">
    <cfRule type="cellIs" dxfId="6" priority="6" operator="lessThan">
      <formula>0</formula>
    </cfRule>
  </conditionalFormatting>
  <conditionalFormatting sqref="AK8:AK25">
    <cfRule type="dataBar" priority="5">
      <dataBar>
        <cfvo type="min"/>
        <cfvo type="max"/>
        <color rgb="FF0F766E"/>
      </dataBar>
    </cfRule>
    <cfRule type="dataBar" priority="7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{DEC17ECB-36EB-C1F7-2FD4-B19EE1692307}</x14:id>
        </ext>
      </extLst>
    </cfRule>
  </conditionalFormatting>
  <conditionalFormatting sqref="AL8:AL25">
    <cfRule type="expression" dxfId="5" priority="1">
      <formula>AL8="Besser als Plan"</formula>
    </cfRule>
    <cfRule type="expression" dxfId="4" priority="2">
      <formula>AL8="Im Rahmen"</formula>
    </cfRule>
    <cfRule type="expression" dxfId="3" priority="3">
      <formula>AL8="Prüfen"</formula>
    </cfRule>
    <cfRule type="expression" dxfId="2" priority="4">
      <formula>AL8="Handeln"</formula>
    </cfRule>
  </conditionalFormatting>
  <dataValidations count="3">
    <dataValidation type="list" sqref="B8:B25" xr:uid="{00000000-0002-0000-0100-000000000000}">
      <formula1>"Einzahlung,Auszahlung,Investition"</formula1>
    </dataValidation>
    <dataValidation type="list" sqref="D8:D25" xr:uid="{00000000-0002-0000-0100-000001000000}">
      <formula1>"Vertrieb,Produkt,Marketing,Verwaltung,Personal,Finanzen"</formula1>
    </dataValidation>
    <dataValidation type="list" sqref="F8:F25" xr:uid="{00000000-0002-0000-0100-000002000000}">
      <formula1>"fix,variabel"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C17ECB-36EB-C1F7-2FD4-B19EE1692307}">
            <x14:dataBar>
              <x14:cfvo type="min"/>
              <x14:cfvo type="max"/>
              <x14:negativeFillColor auto="1"/>
              <x14:axisColor auto="1"/>
            </x14:dataBar>
          </x14:cfRule>
          <xm:sqref>AK8:AK25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/>
  </sheetViews>
  <sheetFormatPr baseColWidth="10" defaultColWidth="9" defaultRowHeight="15" x14ac:dyDescent="0.25"/>
  <cols>
    <col min="1" max="1" width="34" customWidth="1"/>
    <col min="2" max="13" width="12" customWidth="1"/>
  </cols>
  <sheetData>
    <row r="1" spans="1:14" ht="27.95" customHeight="1" x14ac:dyDescent="0.3">
      <c r="A1" s="36" t="s">
        <v>159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3" spans="1:14" x14ac:dyDescent="0.25">
      <c r="A3" s="35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1:14" ht="24" customHeight="1" x14ac:dyDescent="0.25">
      <c r="A5" s="2" t="s">
        <v>161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</row>
    <row r="6" spans="1:14" x14ac:dyDescent="0.25">
      <c r="A6" s="19" t="s">
        <v>162</v>
      </c>
      <c r="B6" s="20">
        <f>Annahmen!$B$7</f>
        <v>350000</v>
      </c>
      <c r="C6" s="20">
        <f>IF(C$5="Jan",Annahmen!$B$7,B11)</f>
        <v>337000</v>
      </c>
      <c r="D6" s="20">
        <f>IF(D$5="Jan",Annahmen!$B$7,C11)</f>
        <v>315800</v>
      </c>
      <c r="E6" s="20">
        <f>IF(E$5="Jan",Annahmen!$B$7,D11)</f>
        <v>273400</v>
      </c>
      <c r="F6" s="20">
        <f>IF(F$5="Jan",Annahmen!$B$7,E11)</f>
        <v>245700</v>
      </c>
      <c r="G6" s="20">
        <f>IF(G$5="Jan",Annahmen!$B$7,F11)</f>
        <v>215300</v>
      </c>
      <c r="H6" s="20">
        <f>IF(H$5="Jan",Annahmen!$B$7,G11)</f>
        <v>174200</v>
      </c>
      <c r="I6" s="20">
        <f>IF(I$5="Jan",Annahmen!$B$7,H11)</f>
        <v>153200</v>
      </c>
      <c r="J6" s="20">
        <f>IF(J$5="Jan",Annahmen!$B$7,I11)</f>
        <v>142400</v>
      </c>
      <c r="K6" s="20">
        <f>IF(K$5="Jan",Annahmen!$B$7,J11)</f>
        <v>105500</v>
      </c>
      <c r="L6" s="20">
        <f>IF(L$5="Jan",Annahmen!$B$7,K11)</f>
        <v>79200</v>
      </c>
      <c r="M6" s="20">
        <f>IF(M$5="Jan",Annahmen!$B$7,L11)</f>
        <v>60300</v>
      </c>
    </row>
    <row r="7" spans="1:14" x14ac:dyDescent="0.25">
      <c r="A7" s="19" t="s">
        <v>163</v>
      </c>
      <c r="B7" s="20">
        <f>SUMIFS('Budget &amp; Ist'!$H$8:$H$25,'Budget &amp; Ist'!$B$8:$B$25,"Einzahlung")</f>
        <v>144500</v>
      </c>
      <c r="C7" s="20">
        <f>SUMIFS('Budget &amp; Ist'!$I$8:$I$25,'Budget &amp; Ist'!$B$8:$B$25,"Einzahlung")</f>
        <v>144900</v>
      </c>
      <c r="D7" s="20">
        <f>SUMIFS('Budget &amp; Ist'!$J$8:$J$25,'Budget &amp; Ist'!$B$8:$B$25,"Einzahlung")</f>
        <v>156300</v>
      </c>
      <c r="E7" s="20">
        <f>SUMIFS('Budget &amp; Ist'!$K$8:$K$25,'Budget &amp; Ist'!$B$8:$B$25,"Einzahlung")</f>
        <v>152800</v>
      </c>
      <c r="F7" s="20">
        <f>SUMIFS('Budget &amp; Ist'!$L$8:$L$25,'Budget &amp; Ist'!$B$8:$B$25,"Einzahlung")</f>
        <v>163300</v>
      </c>
      <c r="G7" s="20">
        <f>SUMIFS('Budget &amp; Ist'!$M$8:$M$25,'Budget &amp; Ist'!$B$8:$B$25,"Einzahlung")</f>
        <v>165800</v>
      </c>
      <c r="H7" s="20">
        <f>SUMIFS('Budget &amp; Ist'!$N$8:$N$25,'Budget &amp; Ist'!$B$8:$B$25,"Einzahlung")</f>
        <v>167300</v>
      </c>
      <c r="I7" s="20">
        <f>SUMIFS('Budget &amp; Ist'!$O$8:$O$25,'Budget &amp; Ist'!$B$8:$B$25,"Einzahlung")</f>
        <v>170900</v>
      </c>
      <c r="J7" s="20">
        <f>SUMIFS('Budget &amp; Ist'!$P$8:$P$25,'Budget &amp; Ist'!$B$8:$B$25,"Einzahlung")</f>
        <v>179500</v>
      </c>
      <c r="K7" s="20">
        <f>SUMIFS('Budget &amp; Ist'!$Q$8:$Q$25,'Budget &amp; Ist'!$B$8:$B$25,"Einzahlung")</f>
        <v>182100</v>
      </c>
      <c r="L7" s="20">
        <f>SUMIFS('Budget &amp; Ist'!$R$8:$R$25,'Budget &amp; Ist'!$B$8:$B$25,"Einzahlung")</f>
        <v>189700</v>
      </c>
      <c r="M7" s="20">
        <f>SUMIFS('Budget &amp; Ist'!$S$8:$S$25,'Budget &amp; Ist'!$B$8:$B$25,"Einzahlung")</f>
        <v>197400</v>
      </c>
    </row>
    <row r="8" spans="1:14" x14ac:dyDescent="0.25">
      <c r="A8" s="19" t="s">
        <v>164</v>
      </c>
      <c r="B8" s="20">
        <f>SUMIFS('Budget &amp; Ist'!$H$8:$H$25,'Budget &amp; Ist'!$B$8:$B$25,"Auszahlung")</f>
        <v>157500</v>
      </c>
      <c r="C8" s="20">
        <f>SUMIFS('Budget &amp; Ist'!$I$8:$I$25,'Budget &amp; Ist'!$B$8:$B$25,"Auszahlung")</f>
        <v>157100</v>
      </c>
      <c r="D8" s="20">
        <f>SUMIFS('Budget &amp; Ist'!$J$8:$J$25,'Budget &amp; Ist'!$B$8:$B$25,"Auszahlung")</f>
        <v>171700</v>
      </c>
      <c r="E8" s="20">
        <f>SUMIFS('Budget &amp; Ist'!$K$8:$K$25,'Budget &amp; Ist'!$B$8:$B$25,"Auszahlung")</f>
        <v>165000</v>
      </c>
      <c r="F8" s="20">
        <f>SUMIFS('Budget &amp; Ist'!$L$8:$L$25,'Budget &amp; Ist'!$B$8:$B$25,"Auszahlung")</f>
        <v>181200</v>
      </c>
      <c r="G8" s="20">
        <f>SUMIFS('Budget &amp; Ist'!$M$8:$M$25,'Budget &amp; Ist'!$B$8:$B$25,"Auszahlung")</f>
        <v>188400</v>
      </c>
      <c r="H8" s="20">
        <f>SUMIFS('Budget &amp; Ist'!$N$8:$N$25,'Budget &amp; Ist'!$B$8:$B$25,"Auszahlung")</f>
        <v>188300</v>
      </c>
      <c r="I8" s="20">
        <f>SUMIFS('Budget &amp; Ist'!$O$8:$O$25,'Budget &amp; Ist'!$B$8:$B$25,"Auszahlung")</f>
        <v>181700</v>
      </c>
      <c r="J8" s="20">
        <f>SUMIFS('Budget &amp; Ist'!$P$8:$P$25,'Budget &amp; Ist'!$B$8:$B$25,"Auszahlung")</f>
        <v>201400</v>
      </c>
      <c r="K8" s="20">
        <f>SUMIFS('Budget &amp; Ist'!$Q$8:$Q$25,'Budget &amp; Ist'!$B$8:$B$25,"Auszahlung")</f>
        <v>208400</v>
      </c>
      <c r="L8" s="20">
        <f>SUMIFS('Budget &amp; Ist'!$R$8:$R$25,'Budget &amp; Ist'!$B$8:$B$25,"Auszahlung")</f>
        <v>208600</v>
      </c>
      <c r="M8" s="20">
        <f>SUMIFS('Budget &amp; Ist'!$S$8:$S$25,'Budget &amp; Ist'!$B$8:$B$25,"Auszahlung")</f>
        <v>216500</v>
      </c>
    </row>
    <row r="9" spans="1:14" x14ac:dyDescent="0.25">
      <c r="A9" s="19" t="s">
        <v>36</v>
      </c>
      <c r="B9" s="20">
        <f>SUMIFS('Budget &amp; Ist'!$H$8:$H$25,'Budget &amp; Ist'!$B$8:$B$25,"Investition")</f>
        <v>0</v>
      </c>
      <c r="C9" s="20">
        <f>SUMIFS('Budget &amp; Ist'!$I$8:$I$25,'Budget &amp; Ist'!$B$8:$B$25,"Investition")</f>
        <v>9000</v>
      </c>
      <c r="D9" s="20">
        <f>SUMIFS('Budget &amp; Ist'!$J$8:$J$25,'Budget &amp; Ist'!$B$8:$B$25,"Investition")</f>
        <v>27000</v>
      </c>
      <c r="E9" s="20">
        <f>SUMIFS('Budget &amp; Ist'!$K$8:$K$25,'Budget &amp; Ist'!$B$8:$B$25,"Investition")</f>
        <v>15500</v>
      </c>
      <c r="F9" s="20">
        <f>SUMIFS('Budget &amp; Ist'!$L$8:$L$25,'Budget &amp; Ist'!$B$8:$B$25,"Investition")</f>
        <v>12500</v>
      </c>
      <c r="G9" s="20">
        <f>SUMIFS('Budget &amp; Ist'!$M$8:$M$25,'Budget &amp; Ist'!$B$8:$B$25,"Investition")</f>
        <v>18500</v>
      </c>
      <c r="H9" s="20">
        <f>SUMIFS('Budget &amp; Ist'!$N$8:$N$25,'Budget &amp; Ist'!$B$8:$B$25,"Investition")</f>
        <v>0</v>
      </c>
      <c r="I9" s="20">
        <f>SUMIFS('Budget &amp; Ist'!$O$8:$O$25,'Budget &amp; Ist'!$B$8:$B$25,"Investition")</f>
        <v>0</v>
      </c>
      <c r="J9" s="20">
        <f>SUMIFS('Budget &amp; Ist'!$P$8:$P$25,'Budget &amp; Ist'!$B$8:$B$25,"Investition")</f>
        <v>15000</v>
      </c>
      <c r="K9" s="20">
        <f>SUMIFS('Budget &amp; Ist'!$Q$8:$Q$25,'Budget &amp; Ist'!$B$8:$B$25,"Investition")</f>
        <v>0</v>
      </c>
      <c r="L9" s="20">
        <f>SUMIFS('Budget &amp; Ist'!$R$8:$R$25,'Budget &amp; Ist'!$B$8:$B$25,"Investition")</f>
        <v>0</v>
      </c>
      <c r="M9" s="20">
        <f>SUMIFS('Budget &amp; Ist'!$S$8:$S$25,'Budget &amp; Ist'!$B$8:$B$25,"Investition")</f>
        <v>0</v>
      </c>
    </row>
    <row r="10" spans="1:14" x14ac:dyDescent="0.25">
      <c r="A10" s="19" t="s">
        <v>165</v>
      </c>
      <c r="B10" s="20">
        <f t="shared" ref="B10:M10" si="0">B7-B8-B9</f>
        <v>-13000</v>
      </c>
      <c r="C10" s="20">
        <f t="shared" si="0"/>
        <v>-21200</v>
      </c>
      <c r="D10" s="20">
        <f t="shared" si="0"/>
        <v>-42400</v>
      </c>
      <c r="E10" s="20">
        <f t="shared" si="0"/>
        <v>-27700</v>
      </c>
      <c r="F10" s="20">
        <f t="shared" si="0"/>
        <v>-30400</v>
      </c>
      <c r="G10" s="20">
        <f t="shared" si="0"/>
        <v>-41100</v>
      </c>
      <c r="H10" s="20">
        <f t="shared" si="0"/>
        <v>-21000</v>
      </c>
      <c r="I10" s="20">
        <f t="shared" si="0"/>
        <v>-10800</v>
      </c>
      <c r="J10" s="20">
        <f t="shared" si="0"/>
        <v>-36900</v>
      </c>
      <c r="K10" s="20">
        <f t="shared" si="0"/>
        <v>-26300</v>
      </c>
      <c r="L10" s="20">
        <f t="shared" si="0"/>
        <v>-18900</v>
      </c>
      <c r="M10" s="20">
        <f t="shared" si="0"/>
        <v>-19100</v>
      </c>
    </row>
    <row r="11" spans="1:14" x14ac:dyDescent="0.25">
      <c r="A11" s="19" t="s">
        <v>166</v>
      </c>
      <c r="B11" s="20">
        <f t="shared" ref="B11:M11" si="1">B6+B10</f>
        <v>337000</v>
      </c>
      <c r="C11" s="20">
        <f t="shared" si="1"/>
        <v>315800</v>
      </c>
      <c r="D11" s="20">
        <f t="shared" si="1"/>
        <v>273400</v>
      </c>
      <c r="E11" s="20">
        <f t="shared" si="1"/>
        <v>245700</v>
      </c>
      <c r="F11" s="20">
        <f t="shared" si="1"/>
        <v>215300</v>
      </c>
      <c r="G11" s="20">
        <f t="shared" si="1"/>
        <v>174200</v>
      </c>
      <c r="H11" s="20">
        <f t="shared" si="1"/>
        <v>153200</v>
      </c>
      <c r="I11" s="20">
        <f t="shared" si="1"/>
        <v>142400</v>
      </c>
      <c r="J11" s="20">
        <f t="shared" si="1"/>
        <v>105500</v>
      </c>
      <c r="K11" s="20">
        <f t="shared" si="1"/>
        <v>79200</v>
      </c>
      <c r="L11" s="20">
        <f t="shared" si="1"/>
        <v>60300</v>
      </c>
      <c r="M11" s="20">
        <f t="shared" si="1"/>
        <v>41200</v>
      </c>
    </row>
    <row r="12" spans="1:14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x14ac:dyDescent="0.25">
      <c r="A13" s="19" t="s">
        <v>167</v>
      </c>
      <c r="B13" s="20">
        <f>Annahmen!$B$7</f>
        <v>350000</v>
      </c>
      <c r="C13" s="20">
        <f>IF(C$5="Jan",Annahmen!$B$7,B18)</f>
        <v>333600</v>
      </c>
      <c r="D13" s="20">
        <f>IF(D$5="Jan",Annahmen!$B$7,C18)</f>
        <v>310300</v>
      </c>
      <c r="E13" s="20">
        <f>IF(E$5="Jan",Annahmen!$B$7,D18)</f>
        <v>264200</v>
      </c>
      <c r="F13" s="20">
        <f>IF(F$5="Jan",Annahmen!$B$7,E18)</f>
        <v>237800</v>
      </c>
      <c r="G13" s="20">
        <f>IF(G$5="Jan",Annahmen!$B$7,F18)</f>
        <v>207400</v>
      </c>
      <c r="H13" s="20">
        <f>IF(H$5="Jan",Annahmen!$B$7,G18)</f>
        <v>166300</v>
      </c>
      <c r="I13" s="20">
        <f>IF(I$5="Jan",Annahmen!$B$7,H18)</f>
        <v>145300</v>
      </c>
      <c r="J13" s="20">
        <f>IF(J$5="Jan",Annahmen!$B$7,I18)</f>
        <v>134500</v>
      </c>
      <c r="K13" s="20">
        <f>IF(K$5="Jan",Annahmen!$B$7,J18)</f>
        <v>97600</v>
      </c>
      <c r="L13" s="20">
        <f>IF(L$5="Jan",Annahmen!$B$7,K18)</f>
        <v>71300</v>
      </c>
      <c r="M13" s="20">
        <f>IF(M$5="Jan",Annahmen!$B$7,L18)</f>
        <v>52400</v>
      </c>
    </row>
    <row r="14" spans="1:14" x14ac:dyDescent="0.25">
      <c r="A14" s="19" t="s">
        <v>168</v>
      </c>
      <c r="B14" s="20">
        <f>IF(COLUMN(B$1)-1&lt;=Annahmen!$B$6,SUMIFS('Budget &amp; Ist'!$T$8:$T$25,'Budget &amp; Ist'!$B$8:$B$25,"Einzahlung"),SUMIFS('Budget &amp; Ist'!$H$8:$H$25,'Budget &amp; Ist'!$B$8:$B$25,"Einzahlung"))</f>
        <v>148500</v>
      </c>
      <c r="C14" s="20">
        <f>IF(COLUMN(C$1)-1&lt;=Annahmen!$B$6,SUMIFS('Budget &amp; Ist'!$U$8:$U$25,'Budget &amp; Ist'!$B$8:$B$25,"Einzahlung"),SUMIFS('Budget &amp; Ist'!$I$8:$I$25,'Budget &amp; Ist'!$B$8:$B$25,"Einzahlung"))</f>
        <v>152800</v>
      </c>
      <c r="D14" s="20">
        <f>IF(COLUMN(D$1)-1&lt;=Annahmen!$B$6,SUMIFS('Budget &amp; Ist'!$V$8:$V$25,'Budget &amp; Ist'!$B$8:$B$25,"Einzahlung"),SUMIFS('Budget &amp; Ist'!$J$8:$J$25,'Budget &amp; Ist'!$B$8:$B$25,"Einzahlung"))</f>
        <v>162900</v>
      </c>
      <c r="E14" s="20">
        <f>IF(COLUMN(E$1)-1&lt;=Annahmen!$B$6,SUMIFS('Budget &amp; Ist'!$W$8:$W$25,'Budget &amp; Ist'!$B$8:$B$25,"Einzahlung"),SUMIFS('Budget &amp; Ist'!$K$8:$K$25,'Budget &amp; Ist'!$B$8:$B$25,"Einzahlung"))</f>
        <v>160700</v>
      </c>
      <c r="F14" s="20">
        <f>IF(COLUMN(F$1)-1&lt;=Annahmen!$B$6,SUMIFS('Budget &amp; Ist'!$X$8:$X$25,'Budget &amp; Ist'!$B$8:$B$25,"Einzahlung"),SUMIFS('Budget &amp; Ist'!$L$8:$L$25,'Budget &amp; Ist'!$B$8:$B$25,"Einzahlung"))</f>
        <v>163300</v>
      </c>
      <c r="G14" s="20">
        <f>IF(COLUMN(G$1)-1&lt;=Annahmen!$B$6,SUMIFS('Budget &amp; Ist'!$Y$8:$Y$25,'Budget &amp; Ist'!$B$8:$B$25,"Einzahlung"),SUMIFS('Budget &amp; Ist'!$M$8:$M$25,'Budget &amp; Ist'!$B$8:$B$25,"Einzahlung"))</f>
        <v>165800</v>
      </c>
      <c r="H14" s="20">
        <f>IF(COLUMN(H$1)-1&lt;=Annahmen!$B$6,SUMIFS('Budget &amp; Ist'!$Z$8:$Z$25,'Budget &amp; Ist'!$B$8:$B$25,"Einzahlung"),SUMIFS('Budget &amp; Ist'!$N$8:$N$25,'Budget &amp; Ist'!$B$8:$B$25,"Einzahlung"))</f>
        <v>167300</v>
      </c>
      <c r="I14" s="20">
        <f>IF(COLUMN(I$1)-1&lt;=Annahmen!$B$6,SUMIFS('Budget &amp; Ist'!$AA$8:$AA$25,'Budget &amp; Ist'!$B$8:$B$25,"Einzahlung"),SUMIFS('Budget &amp; Ist'!$O$8:$O$25,'Budget &amp; Ist'!$B$8:$B$25,"Einzahlung"))</f>
        <v>170900</v>
      </c>
      <c r="J14" s="20">
        <f>IF(COLUMN(J$1)-1&lt;=Annahmen!$B$6,SUMIFS('Budget &amp; Ist'!$AB$8:$AB$25,'Budget &amp; Ist'!$B$8:$B$25,"Einzahlung"),SUMIFS('Budget &amp; Ist'!$P$8:$P$25,'Budget &amp; Ist'!$B$8:$B$25,"Einzahlung"))</f>
        <v>179500</v>
      </c>
      <c r="K14" s="20">
        <f>IF(COLUMN(K$1)-1&lt;=Annahmen!$B$6,SUMIFS('Budget &amp; Ist'!$AC$8:$AC$25,'Budget &amp; Ist'!$B$8:$B$25,"Einzahlung"),SUMIFS('Budget &amp; Ist'!$Q$8:$Q$25,'Budget &amp; Ist'!$B$8:$B$25,"Einzahlung"))</f>
        <v>182100</v>
      </c>
      <c r="L14" s="20">
        <f>IF(COLUMN(L$1)-1&lt;=Annahmen!$B$6,SUMIFS('Budget &amp; Ist'!$AD$8:$AD$25,'Budget &amp; Ist'!$B$8:$B$25,"Einzahlung"),SUMIFS('Budget &amp; Ist'!$R$8:$R$25,'Budget &amp; Ist'!$B$8:$B$25,"Einzahlung"))</f>
        <v>189700</v>
      </c>
      <c r="M14" s="20">
        <f>IF(COLUMN(M$1)-1&lt;=Annahmen!$B$6,SUMIFS('Budget &amp; Ist'!$AE$8:$AE$25,'Budget &amp; Ist'!$B$8:$B$25,"Einzahlung"),SUMIFS('Budget &amp; Ist'!$S$8:$S$25,'Budget &amp; Ist'!$B$8:$B$25,"Einzahlung"))</f>
        <v>197400</v>
      </c>
    </row>
    <row r="15" spans="1:14" x14ac:dyDescent="0.25">
      <c r="A15" s="19" t="s">
        <v>169</v>
      </c>
      <c r="B15" s="20">
        <f>IF(COLUMN(B$1)-1&lt;=Annahmen!$B$6,SUMIFS('Budget &amp; Ist'!$T$8:$T$25,'Budget &amp; Ist'!$B$8:$B$25,"Auszahlung"),SUMIFS('Budget &amp; Ist'!$H$8:$H$25,'Budget &amp; Ist'!$B$8:$B$25,"Auszahlung"))</f>
        <v>164900</v>
      </c>
      <c r="C15" s="20">
        <f>IF(COLUMN(C$1)-1&lt;=Annahmen!$B$6,SUMIFS('Budget &amp; Ist'!$U$8:$U$25,'Budget &amp; Ist'!$B$8:$B$25,"Auszahlung"),SUMIFS('Budget &amp; Ist'!$I$8:$I$25,'Budget &amp; Ist'!$B$8:$B$25,"Auszahlung"))</f>
        <v>167500</v>
      </c>
      <c r="D15" s="20">
        <f>IF(COLUMN(D$1)-1&lt;=Annahmen!$B$6,SUMIFS('Budget &amp; Ist'!$V$8:$V$25,'Budget &amp; Ist'!$B$8:$B$25,"Auszahlung"),SUMIFS('Budget &amp; Ist'!$J$8:$J$25,'Budget &amp; Ist'!$B$8:$B$25,"Auszahlung"))</f>
        <v>182000</v>
      </c>
      <c r="E15" s="20">
        <f>IF(COLUMN(E$1)-1&lt;=Annahmen!$B$6,SUMIFS('Budget &amp; Ist'!$W$8:$W$25,'Budget &amp; Ist'!$B$8:$B$25,"Auszahlung"),SUMIFS('Budget &amp; Ist'!$K$8:$K$25,'Budget &amp; Ist'!$B$8:$B$25,"Auszahlung"))</f>
        <v>171700</v>
      </c>
      <c r="F15" s="20">
        <f>IF(COLUMN(F$1)-1&lt;=Annahmen!$B$6,SUMIFS('Budget &amp; Ist'!$X$8:$X$25,'Budget &amp; Ist'!$B$8:$B$25,"Auszahlung"),SUMIFS('Budget &amp; Ist'!$L$8:$L$25,'Budget &amp; Ist'!$B$8:$B$25,"Auszahlung"))</f>
        <v>181200</v>
      </c>
      <c r="G15" s="20">
        <f>IF(COLUMN(G$1)-1&lt;=Annahmen!$B$6,SUMIFS('Budget &amp; Ist'!$Y$8:$Y$25,'Budget &amp; Ist'!$B$8:$B$25,"Auszahlung"),SUMIFS('Budget &amp; Ist'!$M$8:$M$25,'Budget &amp; Ist'!$B$8:$B$25,"Auszahlung"))</f>
        <v>188400</v>
      </c>
      <c r="H15" s="20">
        <f>IF(COLUMN(H$1)-1&lt;=Annahmen!$B$6,SUMIFS('Budget &amp; Ist'!$Z$8:$Z$25,'Budget &amp; Ist'!$B$8:$B$25,"Auszahlung"),SUMIFS('Budget &amp; Ist'!$N$8:$N$25,'Budget &amp; Ist'!$B$8:$B$25,"Auszahlung"))</f>
        <v>188300</v>
      </c>
      <c r="I15" s="20">
        <f>IF(COLUMN(I$1)-1&lt;=Annahmen!$B$6,SUMIFS('Budget &amp; Ist'!$AA$8:$AA$25,'Budget &amp; Ist'!$B$8:$B$25,"Auszahlung"),SUMIFS('Budget &amp; Ist'!$O$8:$O$25,'Budget &amp; Ist'!$B$8:$B$25,"Auszahlung"))</f>
        <v>181700</v>
      </c>
      <c r="J15" s="20">
        <f>IF(COLUMN(J$1)-1&lt;=Annahmen!$B$6,SUMIFS('Budget &amp; Ist'!$AB$8:$AB$25,'Budget &amp; Ist'!$B$8:$B$25,"Auszahlung"),SUMIFS('Budget &amp; Ist'!$P$8:$P$25,'Budget &amp; Ist'!$B$8:$B$25,"Auszahlung"))</f>
        <v>201400</v>
      </c>
      <c r="K15" s="20">
        <f>IF(COLUMN(K$1)-1&lt;=Annahmen!$B$6,SUMIFS('Budget &amp; Ist'!$AC$8:$AC$25,'Budget &amp; Ist'!$B$8:$B$25,"Auszahlung"),SUMIFS('Budget &amp; Ist'!$Q$8:$Q$25,'Budget &amp; Ist'!$B$8:$B$25,"Auszahlung"))</f>
        <v>208400</v>
      </c>
      <c r="L15" s="20">
        <f>IF(COLUMN(L$1)-1&lt;=Annahmen!$B$6,SUMIFS('Budget &amp; Ist'!$AD$8:$AD$25,'Budget &amp; Ist'!$B$8:$B$25,"Auszahlung"),SUMIFS('Budget &amp; Ist'!$R$8:$R$25,'Budget &amp; Ist'!$B$8:$B$25,"Auszahlung"))</f>
        <v>208600</v>
      </c>
      <c r="M15" s="20">
        <f>IF(COLUMN(M$1)-1&lt;=Annahmen!$B$6,SUMIFS('Budget &amp; Ist'!$AE$8:$AE$25,'Budget &amp; Ist'!$B$8:$B$25,"Auszahlung"),SUMIFS('Budget &amp; Ist'!$S$8:$S$25,'Budget &amp; Ist'!$B$8:$B$25,"Auszahlung"))</f>
        <v>216500</v>
      </c>
    </row>
    <row r="16" spans="1:14" x14ac:dyDescent="0.25">
      <c r="A16" s="19" t="s">
        <v>37</v>
      </c>
      <c r="B16" s="20">
        <f>IF(COLUMN(B$1)-1&lt;=Annahmen!$B$6,SUMIFS('Budget &amp; Ist'!$T$8:$T$25,'Budget &amp; Ist'!$B$8:$B$25,"Investition"),SUMIFS('Budget &amp; Ist'!$H$8:$H$25,'Budget &amp; Ist'!$B$8:$B$25,"Investition"))</f>
        <v>0</v>
      </c>
      <c r="C16" s="20">
        <f>IF(COLUMN(C$1)-1&lt;=Annahmen!$B$6,SUMIFS('Budget &amp; Ist'!$U$8:$U$25,'Budget &amp; Ist'!$B$8:$B$25,"Investition"),SUMIFS('Budget &amp; Ist'!$I$8:$I$25,'Budget &amp; Ist'!$B$8:$B$25,"Investition"))</f>
        <v>8600</v>
      </c>
      <c r="D16" s="20">
        <f>IF(COLUMN(D$1)-1&lt;=Annahmen!$B$6,SUMIFS('Budget &amp; Ist'!$V$8:$V$25,'Budget &amp; Ist'!$B$8:$B$25,"Investition"),SUMIFS('Budget &amp; Ist'!$J$8:$J$25,'Budget &amp; Ist'!$B$8:$B$25,"Investition"))</f>
        <v>27000</v>
      </c>
      <c r="E16" s="20">
        <f>IF(COLUMN(E$1)-1&lt;=Annahmen!$B$6,SUMIFS('Budget &amp; Ist'!$W$8:$W$25,'Budget &amp; Ist'!$B$8:$B$25,"Investition"),SUMIFS('Budget &amp; Ist'!$K$8:$K$25,'Budget &amp; Ist'!$B$8:$B$25,"Investition"))</f>
        <v>15400</v>
      </c>
      <c r="F16" s="20">
        <f>IF(COLUMN(F$1)-1&lt;=Annahmen!$B$6,SUMIFS('Budget &amp; Ist'!$X$8:$X$25,'Budget &amp; Ist'!$B$8:$B$25,"Investition"),SUMIFS('Budget &amp; Ist'!$L$8:$L$25,'Budget &amp; Ist'!$B$8:$B$25,"Investition"))</f>
        <v>12500</v>
      </c>
      <c r="G16" s="20">
        <f>IF(COLUMN(G$1)-1&lt;=Annahmen!$B$6,SUMIFS('Budget &amp; Ist'!$Y$8:$Y$25,'Budget &amp; Ist'!$B$8:$B$25,"Investition"),SUMIFS('Budget &amp; Ist'!$M$8:$M$25,'Budget &amp; Ist'!$B$8:$B$25,"Investition"))</f>
        <v>18500</v>
      </c>
      <c r="H16" s="20">
        <f>IF(COLUMN(H$1)-1&lt;=Annahmen!$B$6,SUMIFS('Budget &amp; Ist'!$Z$8:$Z$25,'Budget &amp; Ist'!$B$8:$B$25,"Investition"),SUMIFS('Budget &amp; Ist'!$N$8:$N$25,'Budget &amp; Ist'!$B$8:$B$25,"Investition"))</f>
        <v>0</v>
      </c>
      <c r="I16" s="20">
        <f>IF(COLUMN(I$1)-1&lt;=Annahmen!$B$6,SUMIFS('Budget &amp; Ist'!$AA$8:$AA$25,'Budget &amp; Ist'!$B$8:$B$25,"Investition"),SUMIFS('Budget &amp; Ist'!$O$8:$O$25,'Budget &amp; Ist'!$B$8:$B$25,"Investition"))</f>
        <v>0</v>
      </c>
      <c r="J16" s="20">
        <f>IF(COLUMN(J$1)-1&lt;=Annahmen!$B$6,SUMIFS('Budget &amp; Ist'!$AB$8:$AB$25,'Budget &amp; Ist'!$B$8:$B$25,"Investition"),SUMIFS('Budget &amp; Ist'!$P$8:$P$25,'Budget &amp; Ist'!$B$8:$B$25,"Investition"))</f>
        <v>15000</v>
      </c>
      <c r="K16" s="20">
        <f>IF(COLUMN(K$1)-1&lt;=Annahmen!$B$6,SUMIFS('Budget &amp; Ist'!$AC$8:$AC$25,'Budget &amp; Ist'!$B$8:$B$25,"Investition"),SUMIFS('Budget &amp; Ist'!$Q$8:$Q$25,'Budget &amp; Ist'!$B$8:$B$25,"Investition"))</f>
        <v>0</v>
      </c>
      <c r="L16" s="20">
        <f>IF(COLUMN(L$1)-1&lt;=Annahmen!$B$6,SUMIFS('Budget &amp; Ist'!$AD$8:$AD$25,'Budget &amp; Ist'!$B$8:$B$25,"Investition"),SUMIFS('Budget &amp; Ist'!$R$8:$R$25,'Budget &amp; Ist'!$B$8:$B$25,"Investition"))</f>
        <v>0</v>
      </c>
      <c r="M16" s="20">
        <f>IF(COLUMN(M$1)-1&lt;=Annahmen!$B$6,SUMIFS('Budget &amp; Ist'!$AE$8:$AE$25,'Budget &amp; Ist'!$B$8:$B$25,"Investition"),SUMIFS('Budget &amp; Ist'!$S$8:$S$25,'Budget &amp; Ist'!$B$8:$B$25,"Investition"))</f>
        <v>0</v>
      </c>
    </row>
    <row r="17" spans="1:13" x14ac:dyDescent="0.25">
      <c r="A17" s="19" t="s">
        <v>170</v>
      </c>
      <c r="B17" s="20">
        <f t="shared" ref="B17:M17" si="2">B14-B15-B16</f>
        <v>-16400</v>
      </c>
      <c r="C17" s="20">
        <f t="shared" si="2"/>
        <v>-23300</v>
      </c>
      <c r="D17" s="20">
        <f t="shared" si="2"/>
        <v>-46100</v>
      </c>
      <c r="E17" s="20">
        <f t="shared" si="2"/>
        <v>-26400</v>
      </c>
      <c r="F17" s="20">
        <f t="shared" si="2"/>
        <v>-30400</v>
      </c>
      <c r="G17" s="20">
        <f t="shared" si="2"/>
        <v>-41100</v>
      </c>
      <c r="H17" s="20">
        <f t="shared" si="2"/>
        <v>-21000</v>
      </c>
      <c r="I17" s="20">
        <f t="shared" si="2"/>
        <v>-10800</v>
      </c>
      <c r="J17" s="20">
        <f t="shared" si="2"/>
        <v>-36900</v>
      </c>
      <c r="K17" s="20">
        <f t="shared" si="2"/>
        <v>-26300</v>
      </c>
      <c r="L17" s="20">
        <f t="shared" si="2"/>
        <v>-18900</v>
      </c>
      <c r="M17" s="20">
        <f t="shared" si="2"/>
        <v>-19100</v>
      </c>
    </row>
    <row r="18" spans="1:13" x14ac:dyDescent="0.25">
      <c r="A18" s="19" t="s">
        <v>171</v>
      </c>
      <c r="B18" s="20">
        <f t="shared" ref="B18:M18" si="3">B13+B17</f>
        <v>333600</v>
      </c>
      <c r="C18" s="20">
        <f t="shared" si="3"/>
        <v>310300</v>
      </c>
      <c r="D18" s="20">
        <f t="shared" si="3"/>
        <v>264200</v>
      </c>
      <c r="E18" s="20">
        <f t="shared" si="3"/>
        <v>237800</v>
      </c>
      <c r="F18" s="20">
        <f t="shared" si="3"/>
        <v>207400</v>
      </c>
      <c r="G18" s="20">
        <f t="shared" si="3"/>
        <v>166300</v>
      </c>
      <c r="H18" s="20">
        <f t="shared" si="3"/>
        <v>145300</v>
      </c>
      <c r="I18" s="20">
        <f t="shared" si="3"/>
        <v>134500</v>
      </c>
      <c r="J18" s="20">
        <f t="shared" si="3"/>
        <v>97600</v>
      </c>
      <c r="K18" s="20">
        <f t="shared" si="3"/>
        <v>71300</v>
      </c>
      <c r="L18" s="20">
        <f t="shared" si="3"/>
        <v>52400</v>
      </c>
      <c r="M18" s="20">
        <f t="shared" si="3"/>
        <v>33300</v>
      </c>
    </row>
    <row r="19" spans="1:13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x14ac:dyDescent="0.25">
      <c r="A20" s="19" t="s">
        <v>17</v>
      </c>
      <c r="B20" s="20">
        <f>Annahmen!$B$8</f>
        <v>50000</v>
      </c>
      <c r="C20" s="20">
        <f>Annahmen!$B$8</f>
        <v>50000</v>
      </c>
      <c r="D20" s="20">
        <f>Annahmen!$B$8</f>
        <v>50000</v>
      </c>
      <c r="E20" s="20">
        <f>Annahmen!$B$8</f>
        <v>50000</v>
      </c>
      <c r="F20" s="20">
        <f>Annahmen!$B$8</f>
        <v>50000</v>
      </c>
      <c r="G20" s="20">
        <f>Annahmen!$B$8</f>
        <v>50000</v>
      </c>
      <c r="H20" s="20">
        <f>Annahmen!$B$8</f>
        <v>50000</v>
      </c>
      <c r="I20" s="20">
        <f>Annahmen!$B$8</f>
        <v>50000</v>
      </c>
      <c r="J20" s="20">
        <f>Annahmen!$B$8</f>
        <v>50000</v>
      </c>
      <c r="K20" s="20">
        <f>Annahmen!$B$8</f>
        <v>50000</v>
      </c>
      <c r="L20" s="20">
        <f>Annahmen!$B$8</f>
        <v>50000</v>
      </c>
      <c r="M20" s="20">
        <f>Annahmen!$B$8</f>
        <v>50000</v>
      </c>
    </row>
    <row r="21" spans="1:13" x14ac:dyDescent="0.25">
      <c r="A21" s="19" t="s">
        <v>172</v>
      </c>
      <c r="B21" s="21" t="str">
        <f>IF(B18&lt;Annahmen!$B$8,"Handeln","OK")</f>
        <v>OK</v>
      </c>
      <c r="C21" s="21" t="str">
        <f>IF(C18&lt;Annahmen!$B$8,"Handeln","OK")</f>
        <v>OK</v>
      </c>
      <c r="D21" s="21" t="str">
        <f>IF(D18&lt;Annahmen!$B$8,"Handeln","OK")</f>
        <v>OK</v>
      </c>
      <c r="E21" s="21" t="str">
        <f>IF(E18&lt;Annahmen!$B$8,"Handeln","OK")</f>
        <v>OK</v>
      </c>
      <c r="F21" s="21" t="str">
        <f>IF(F18&lt;Annahmen!$B$8,"Handeln","OK")</f>
        <v>OK</v>
      </c>
      <c r="G21" s="21" t="str">
        <f>IF(G18&lt;Annahmen!$B$8,"Handeln","OK")</f>
        <v>OK</v>
      </c>
      <c r="H21" s="21" t="str">
        <f>IF(H18&lt;Annahmen!$B$8,"Handeln","OK")</f>
        <v>OK</v>
      </c>
      <c r="I21" s="21" t="str">
        <f>IF(I18&lt;Annahmen!$B$8,"Handeln","OK")</f>
        <v>OK</v>
      </c>
      <c r="J21" s="21" t="str">
        <f>IF(J18&lt;Annahmen!$B$8,"Handeln","OK")</f>
        <v>OK</v>
      </c>
      <c r="K21" s="21" t="str">
        <f>IF(K18&lt;Annahmen!$B$8,"Handeln","OK")</f>
        <v>OK</v>
      </c>
      <c r="L21" s="21" t="str">
        <f>IF(L18&lt;Annahmen!$B$8,"Handeln","OK")</f>
        <v>OK</v>
      </c>
      <c r="M21" s="21" t="str">
        <f>IF(M18&lt;Annahmen!$B$8,"Handeln","OK")</f>
        <v>Handeln</v>
      </c>
    </row>
  </sheetData>
  <mergeCells count="2">
    <mergeCell ref="A1:N1"/>
    <mergeCell ref="A3:N3"/>
  </mergeCells>
  <conditionalFormatting sqref="B21:M21">
    <cfRule type="expression" dxfId="1" priority="1">
      <formula>B21="Handeln"</formula>
    </cfRule>
    <cfRule type="expression" dxfId="0" priority="2">
      <formula>B21="OK"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/>
  </sheetViews>
  <sheetFormatPr baseColWidth="10" defaultColWidth="9" defaultRowHeight="15" x14ac:dyDescent="0.25"/>
  <cols>
    <col min="1" max="1" width="28" customWidth="1"/>
    <col min="2" max="2" width="24" customWidth="1"/>
    <col min="4" max="4" width="18" customWidth="1"/>
    <col min="5" max="5" width="10.875" customWidth="1"/>
    <col min="6" max="6" width="12.875" customWidth="1"/>
    <col min="7" max="7" width="14.25" customWidth="1"/>
    <col min="8" max="8" width="42" customWidth="1"/>
  </cols>
  <sheetData>
    <row r="1" spans="1:8" ht="27.95" customHeight="1" x14ac:dyDescent="0.25">
      <c r="A1" s="34" t="s">
        <v>173</v>
      </c>
      <c r="B1" s="32"/>
      <c r="C1" s="32"/>
      <c r="D1" s="32"/>
      <c r="E1" s="32"/>
      <c r="F1" s="32"/>
      <c r="G1" s="32"/>
      <c r="H1" s="32"/>
    </row>
    <row r="3" spans="1:8" x14ac:dyDescent="0.25">
      <c r="A3" s="2" t="s">
        <v>174</v>
      </c>
      <c r="B3" s="2" t="s">
        <v>175</v>
      </c>
      <c r="D3" s="2" t="s">
        <v>12</v>
      </c>
      <c r="E3" s="2" t="s">
        <v>176</v>
      </c>
      <c r="F3" s="2" t="s">
        <v>177</v>
      </c>
      <c r="G3" s="2" t="s">
        <v>178</v>
      </c>
      <c r="H3" s="2" t="s">
        <v>179</v>
      </c>
    </row>
    <row r="4" spans="1:8" ht="30" x14ac:dyDescent="0.25">
      <c r="A4" s="3" t="s">
        <v>3</v>
      </c>
      <c r="B4" s="4" t="s">
        <v>180</v>
      </c>
      <c r="D4" s="9" t="s">
        <v>181</v>
      </c>
      <c r="E4" s="10">
        <v>0.92</v>
      </c>
      <c r="F4" s="10">
        <v>1.06</v>
      </c>
      <c r="G4" s="10">
        <v>0.9</v>
      </c>
      <c r="H4" s="11" t="s">
        <v>182</v>
      </c>
    </row>
    <row r="5" spans="1:8" x14ac:dyDescent="0.25">
      <c r="A5" s="3" t="s">
        <v>7</v>
      </c>
      <c r="B5" s="4">
        <v>2026</v>
      </c>
      <c r="D5" s="9" t="s">
        <v>183</v>
      </c>
      <c r="E5" s="10">
        <v>1</v>
      </c>
      <c r="F5" s="10">
        <v>1</v>
      </c>
      <c r="G5" s="10">
        <v>1</v>
      </c>
      <c r="H5" s="11" t="s">
        <v>184</v>
      </c>
    </row>
    <row r="6" spans="1:8" x14ac:dyDescent="0.25">
      <c r="A6" s="3" t="s">
        <v>185</v>
      </c>
      <c r="B6" s="6">
        <v>4</v>
      </c>
      <c r="D6" s="9" t="s">
        <v>186</v>
      </c>
      <c r="E6" s="10">
        <v>1.1200000000000001</v>
      </c>
      <c r="F6" s="10">
        <v>1.04</v>
      </c>
      <c r="G6" s="10">
        <v>1.1499999999999999</v>
      </c>
      <c r="H6" s="11" t="s">
        <v>187</v>
      </c>
    </row>
    <row r="7" spans="1:8" x14ac:dyDescent="0.25">
      <c r="A7" s="3" t="s">
        <v>13</v>
      </c>
      <c r="B7" s="7">
        <v>350000</v>
      </c>
    </row>
    <row r="8" spans="1:8" x14ac:dyDescent="0.25">
      <c r="A8" s="3" t="s">
        <v>17</v>
      </c>
      <c r="B8" s="7">
        <v>50000</v>
      </c>
    </row>
    <row r="9" spans="1:8" x14ac:dyDescent="0.25">
      <c r="A9" s="3" t="s">
        <v>188</v>
      </c>
      <c r="B9" s="8">
        <v>0.1</v>
      </c>
      <c r="D9" s="33" t="s">
        <v>189</v>
      </c>
      <c r="E9" s="32"/>
      <c r="F9" s="32"/>
      <c r="G9" s="32"/>
      <c r="H9" s="32"/>
    </row>
    <row r="10" spans="1:8" x14ac:dyDescent="0.25">
      <c r="A10" s="3" t="s">
        <v>190</v>
      </c>
      <c r="B10" s="4" t="s">
        <v>183</v>
      </c>
      <c r="D10" s="1" t="s">
        <v>61</v>
      </c>
      <c r="E10" s="1" t="s">
        <v>42</v>
      </c>
      <c r="F10" s="1" t="s">
        <v>64</v>
      </c>
      <c r="G10" s="1" t="s">
        <v>93</v>
      </c>
    </row>
    <row r="11" spans="1:8" ht="45" x14ac:dyDescent="0.25">
      <c r="A11" s="3" t="s">
        <v>191</v>
      </c>
      <c r="B11" s="5" t="s">
        <v>192</v>
      </c>
      <c r="D11" s="9" t="s">
        <v>95</v>
      </c>
      <c r="E11" s="9" t="s">
        <v>52</v>
      </c>
      <c r="F11" s="9" t="s">
        <v>111</v>
      </c>
      <c r="G11" s="9" t="s">
        <v>193</v>
      </c>
    </row>
    <row r="12" spans="1:8" x14ac:dyDescent="0.25">
      <c r="D12" s="9" t="s">
        <v>114</v>
      </c>
      <c r="E12" s="9" t="s">
        <v>53</v>
      </c>
      <c r="F12" s="9" t="s">
        <v>98</v>
      </c>
      <c r="G12" s="9" t="s">
        <v>194</v>
      </c>
    </row>
    <row r="13" spans="1:8" x14ac:dyDescent="0.25">
      <c r="D13" s="9" t="s">
        <v>149</v>
      </c>
      <c r="E13" s="9" t="s">
        <v>54</v>
      </c>
      <c r="F13" s="9"/>
      <c r="G13" s="9" t="s">
        <v>195</v>
      </c>
    </row>
    <row r="14" spans="1:8" x14ac:dyDescent="0.25">
      <c r="D14" s="9"/>
      <c r="E14" s="9" t="s">
        <v>55</v>
      </c>
      <c r="F14" s="9"/>
      <c r="G14" s="9" t="s">
        <v>196</v>
      </c>
    </row>
    <row r="15" spans="1:8" x14ac:dyDescent="0.25">
      <c r="D15" s="9"/>
      <c r="E15" s="9" t="s">
        <v>56</v>
      </c>
      <c r="F15" s="9"/>
      <c r="G15" s="9"/>
    </row>
    <row r="16" spans="1:8" x14ac:dyDescent="0.25">
      <c r="D16" s="9"/>
      <c r="E16" s="9" t="s">
        <v>57</v>
      </c>
      <c r="F16" s="9"/>
      <c r="G16" s="9"/>
    </row>
  </sheetData>
  <mergeCells count="2">
    <mergeCell ref="A1:H1"/>
    <mergeCell ref="D9:H9"/>
  </mergeCells>
  <dataValidations count="2">
    <dataValidation sqref="B6" xr:uid="{00000000-0002-0000-0300-000000000000}">
      <formula1>1</formula1>
      <formula2>12</formula2>
    </dataValidation>
    <dataValidation type="list" sqref="B10" xr:uid="{00000000-0002-0000-0300-000001000000}">
      <formula1>"Vorsichtig,Basis,Wachstum"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Budget &amp; Ist</vt:lpstr>
      <vt:lpstr>Liquidität</vt:lpstr>
      <vt:lpstr>Annahmen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2026-05-10T17:46:50Z</dcterms:modified>
</cp:coreProperties>
</file>