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E6F2C56C-7240-4017-ABD4-8D106E8E6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Monatsübersicht" sheetId="2" r:id="rId2"/>
    <sheet name="Budgetplanung" sheetId="3" r:id="rId3"/>
    <sheet name="Stammda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3" l="1"/>
  <c r="AJ25" i="3"/>
  <c r="AH25" i="3"/>
  <c r="AF25" i="3"/>
  <c r="AD25" i="3"/>
  <c r="AB25" i="3"/>
  <c r="Z25" i="3"/>
  <c r="X25" i="3"/>
  <c r="V25" i="3"/>
  <c r="T25" i="3"/>
  <c r="R25" i="3"/>
  <c r="P25" i="3"/>
  <c r="N25" i="3"/>
  <c r="AL25" i="3" s="1"/>
  <c r="AN25" i="3" s="1"/>
  <c r="AM24" i="3"/>
  <c r="AJ24" i="3"/>
  <c r="AH24" i="3"/>
  <c r="AF24" i="3"/>
  <c r="AD24" i="3"/>
  <c r="AB24" i="3"/>
  <c r="Z24" i="3"/>
  <c r="X24" i="3"/>
  <c r="AL24" i="3" s="1"/>
  <c r="AN24" i="3" s="1"/>
  <c r="V24" i="3"/>
  <c r="T24" i="3"/>
  <c r="R24" i="3"/>
  <c r="P24" i="3"/>
  <c r="N24" i="3"/>
  <c r="AM23" i="3"/>
  <c r="AJ23" i="3"/>
  <c r="AH23" i="3"/>
  <c r="AF23" i="3"/>
  <c r="AD23" i="3"/>
  <c r="AB23" i="3"/>
  <c r="Z23" i="3"/>
  <c r="X23" i="3"/>
  <c r="V23" i="3"/>
  <c r="T23" i="3"/>
  <c r="R23" i="3"/>
  <c r="P23" i="3"/>
  <c r="N23" i="3"/>
  <c r="AL23" i="3" s="1"/>
  <c r="AN23" i="3" s="1"/>
  <c r="AM22" i="3"/>
  <c r="AL22" i="3"/>
  <c r="AN22" i="3" s="1"/>
  <c r="AJ22" i="3"/>
  <c r="AH22" i="3"/>
  <c r="AF22" i="3"/>
  <c r="AD22" i="3"/>
  <c r="AB22" i="3"/>
  <c r="Z22" i="3"/>
  <c r="X22" i="3"/>
  <c r="V22" i="3"/>
  <c r="T22" i="3"/>
  <c r="R22" i="3"/>
  <c r="P22" i="3"/>
  <c r="N22" i="3"/>
  <c r="AM21" i="3"/>
  <c r="AJ21" i="3"/>
  <c r="AH21" i="3"/>
  <c r="AF21" i="3"/>
  <c r="AD21" i="3"/>
  <c r="AB21" i="3"/>
  <c r="Z21" i="3"/>
  <c r="X21" i="3"/>
  <c r="V21" i="3"/>
  <c r="T21" i="3"/>
  <c r="R21" i="3"/>
  <c r="P21" i="3"/>
  <c r="N21" i="3"/>
  <c r="AL21" i="3" s="1"/>
  <c r="AN21" i="3" s="1"/>
  <c r="AM20" i="3"/>
  <c r="AJ20" i="3"/>
  <c r="AH20" i="3"/>
  <c r="AF20" i="3"/>
  <c r="AD20" i="3"/>
  <c r="AB20" i="3"/>
  <c r="Z20" i="3"/>
  <c r="X20" i="3"/>
  <c r="V20" i="3"/>
  <c r="T20" i="3"/>
  <c r="R20" i="3"/>
  <c r="P20" i="3"/>
  <c r="N20" i="3"/>
  <c r="AL20" i="3" s="1"/>
  <c r="AN20" i="3" s="1"/>
  <c r="AM19" i="3"/>
  <c r="AJ19" i="3"/>
  <c r="AH19" i="3"/>
  <c r="AF19" i="3"/>
  <c r="AD19" i="3"/>
  <c r="AB19" i="3"/>
  <c r="Z19" i="3"/>
  <c r="X19" i="3"/>
  <c r="V19" i="3"/>
  <c r="T19" i="3"/>
  <c r="R19" i="3"/>
  <c r="AL19" i="3" s="1"/>
  <c r="AN19" i="3" s="1"/>
  <c r="P19" i="3"/>
  <c r="N19" i="3"/>
  <c r="AM18" i="3"/>
  <c r="AJ18" i="3"/>
  <c r="AH18" i="3"/>
  <c r="AF18" i="3"/>
  <c r="AD18" i="3"/>
  <c r="AB18" i="3"/>
  <c r="Z18" i="3"/>
  <c r="X18" i="3"/>
  <c r="V18" i="3"/>
  <c r="T18" i="3"/>
  <c r="R18" i="3"/>
  <c r="P18" i="3"/>
  <c r="N18" i="3"/>
  <c r="AL18" i="3" s="1"/>
  <c r="AN18" i="3" s="1"/>
  <c r="AM17" i="3"/>
  <c r="AJ17" i="3"/>
  <c r="AH17" i="3"/>
  <c r="AF17" i="3"/>
  <c r="AD17" i="3"/>
  <c r="AB17" i="3"/>
  <c r="Z17" i="3"/>
  <c r="X17" i="3"/>
  <c r="V17" i="3"/>
  <c r="T17" i="3"/>
  <c r="R17" i="3"/>
  <c r="P17" i="3"/>
  <c r="N17" i="3"/>
  <c r="AL17" i="3" s="1"/>
  <c r="AN17" i="3" s="1"/>
  <c r="AM16" i="3"/>
  <c r="AJ16" i="3"/>
  <c r="AH16" i="3"/>
  <c r="AF16" i="3"/>
  <c r="AD16" i="3"/>
  <c r="AB16" i="3"/>
  <c r="Z16" i="3"/>
  <c r="X16" i="3"/>
  <c r="V16" i="3"/>
  <c r="T16" i="3"/>
  <c r="R16" i="3"/>
  <c r="P16" i="3"/>
  <c r="N16" i="3"/>
  <c r="AL16" i="3" s="1"/>
  <c r="AN16" i="3" s="1"/>
  <c r="AM15" i="3"/>
  <c r="AJ15" i="3"/>
  <c r="AL15" i="3" s="1"/>
  <c r="AN15" i="3" s="1"/>
  <c r="AH15" i="3"/>
  <c r="AF15" i="3"/>
  <c r="AD15" i="3"/>
  <c r="AB15" i="3"/>
  <c r="Z15" i="3"/>
  <c r="X15" i="3"/>
  <c r="V15" i="3"/>
  <c r="T15" i="3"/>
  <c r="R15" i="3"/>
  <c r="P15" i="3"/>
  <c r="N15" i="3"/>
  <c r="AM14" i="3"/>
  <c r="AJ14" i="3"/>
  <c r="AH14" i="3"/>
  <c r="AF14" i="3"/>
  <c r="AD14" i="3"/>
  <c r="AB14" i="3"/>
  <c r="Z14" i="3"/>
  <c r="X14" i="3"/>
  <c r="V14" i="3"/>
  <c r="T14" i="3"/>
  <c r="R14" i="3"/>
  <c r="P14" i="3"/>
  <c r="N14" i="3"/>
  <c r="AL14" i="3" s="1"/>
  <c r="AN14" i="3" s="1"/>
  <c r="AM13" i="3"/>
  <c r="AJ13" i="3"/>
  <c r="AH13" i="3"/>
  <c r="AF13" i="3"/>
  <c r="AD13" i="3"/>
  <c r="AB13" i="3"/>
  <c r="Z13" i="3"/>
  <c r="X13" i="3"/>
  <c r="V13" i="3"/>
  <c r="T13" i="3"/>
  <c r="R13" i="3"/>
  <c r="P13" i="3"/>
  <c r="N13" i="3"/>
  <c r="AL13" i="3" s="1"/>
  <c r="AN13" i="3" s="1"/>
  <c r="AM12" i="3"/>
  <c r="AJ12" i="3"/>
  <c r="AH12" i="3"/>
  <c r="AF12" i="3"/>
  <c r="AD12" i="3"/>
  <c r="AB12" i="3"/>
  <c r="Z12" i="3"/>
  <c r="X12" i="3"/>
  <c r="V12" i="3"/>
  <c r="T12" i="3"/>
  <c r="R12" i="3"/>
  <c r="P12" i="3"/>
  <c r="N12" i="3"/>
  <c r="AL12" i="3" s="1"/>
  <c r="AN12" i="3" s="1"/>
  <c r="AM11" i="3"/>
  <c r="AJ11" i="3"/>
  <c r="D16" i="2" s="1"/>
  <c r="D23" i="1" s="1"/>
  <c r="AH11" i="3"/>
  <c r="D15" i="2" s="1"/>
  <c r="D22" i="1" s="1"/>
  <c r="AF11" i="3"/>
  <c r="D14" i="2" s="1"/>
  <c r="D21" i="1" s="1"/>
  <c r="AD11" i="3"/>
  <c r="D13" i="2" s="1"/>
  <c r="D20" i="1" s="1"/>
  <c r="AB11" i="3"/>
  <c r="D12" i="2" s="1"/>
  <c r="D19" i="1" s="1"/>
  <c r="Z11" i="3"/>
  <c r="D11" i="2" s="1"/>
  <c r="D18" i="1" s="1"/>
  <c r="X11" i="3"/>
  <c r="D10" i="2" s="1"/>
  <c r="D17" i="1" s="1"/>
  <c r="V11" i="3"/>
  <c r="D9" i="2" s="1"/>
  <c r="D16" i="1" s="1"/>
  <c r="T11" i="3"/>
  <c r="D8" i="2" s="1"/>
  <c r="D15" i="1" s="1"/>
  <c r="R11" i="3"/>
  <c r="P11" i="3"/>
  <c r="D6" i="2" s="1"/>
  <c r="D13" i="1" s="1"/>
  <c r="N11" i="3"/>
  <c r="AM10" i="3"/>
  <c r="AN10" i="3" s="1"/>
  <c r="AJ10" i="3"/>
  <c r="AH10" i="3"/>
  <c r="AF10" i="3"/>
  <c r="AD10" i="3"/>
  <c r="AB10" i="3"/>
  <c r="Z10" i="3"/>
  <c r="X10" i="3"/>
  <c r="V10" i="3"/>
  <c r="T10" i="3"/>
  <c r="R10" i="3"/>
  <c r="P10" i="3"/>
  <c r="N10" i="3"/>
  <c r="AL10" i="3" s="1"/>
  <c r="AM9" i="3"/>
  <c r="AJ9" i="3"/>
  <c r="AH9" i="3"/>
  <c r="AF9" i="3"/>
  <c r="AD9" i="3"/>
  <c r="AB9" i="3"/>
  <c r="Z9" i="3"/>
  <c r="X9" i="3"/>
  <c r="V9" i="3"/>
  <c r="T9" i="3"/>
  <c r="R9" i="3"/>
  <c r="P9" i="3"/>
  <c r="N9" i="3"/>
  <c r="AL9" i="3" s="1"/>
  <c r="AM8" i="3"/>
  <c r="AJ8" i="3"/>
  <c r="AH8" i="3"/>
  <c r="AF8" i="3"/>
  <c r="AD8" i="3"/>
  <c r="AB8" i="3"/>
  <c r="Z8" i="3"/>
  <c r="X8" i="3"/>
  <c r="V8" i="3"/>
  <c r="T8" i="3"/>
  <c r="R8" i="3"/>
  <c r="P8" i="3"/>
  <c r="N8" i="3"/>
  <c r="AL8" i="3" s="1"/>
  <c r="AM7" i="3"/>
  <c r="AJ7" i="3"/>
  <c r="B16" i="2" s="1"/>
  <c r="AH7" i="3"/>
  <c r="B15" i="2" s="1"/>
  <c r="AF7" i="3"/>
  <c r="B14" i="2" s="1"/>
  <c r="AD7" i="3"/>
  <c r="B13" i="2" s="1"/>
  <c r="AB7" i="3"/>
  <c r="B12" i="2" s="1"/>
  <c r="Z7" i="3"/>
  <c r="B11" i="2" s="1"/>
  <c r="X7" i="3"/>
  <c r="B10" i="2" s="1"/>
  <c r="V7" i="3"/>
  <c r="B9" i="2" s="1"/>
  <c r="T7" i="3"/>
  <c r="B8" i="2" s="1"/>
  <c r="R7" i="3"/>
  <c r="B7" i="2" s="1"/>
  <c r="P7" i="3"/>
  <c r="B6" i="2" s="1"/>
  <c r="N7" i="3"/>
  <c r="E16" i="2"/>
  <c r="O16" i="2" s="1"/>
  <c r="C16" i="2"/>
  <c r="G16" i="2" s="1"/>
  <c r="E15" i="2"/>
  <c r="C15" i="2"/>
  <c r="G15" i="2" s="1"/>
  <c r="E14" i="2"/>
  <c r="C14" i="2"/>
  <c r="G14" i="2" s="1"/>
  <c r="E13" i="2"/>
  <c r="C13" i="2"/>
  <c r="G13" i="2" s="1"/>
  <c r="E12" i="2"/>
  <c r="C12" i="2"/>
  <c r="G12" i="2" s="1"/>
  <c r="E11" i="2"/>
  <c r="C11" i="2"/>
  <c r="E10" i="2"/>
  <c r="C10" i="2"/>
  <c r="E9" i="2"/>
  <c r="C9" i="2"/>
  <c r="E8" i="2"/>
  <c r="C8" i="2"/>
  <c r="E7" i="2"/>
  <c r="D7" i="2"/>
  <c r="D14" i="1" s="1"/>
  <c r="C7" i="2"/>
  <c r="E6" i="2"/>
  <c r="C6" i="2"/>
  <c r="L5" i="2"/>
  <c r="I5" i="2"/>
  <c r="E5" i="2"/>
  <c r="C5" i="2"/>
  <c r="E23" i="1"/>
  <c r="C23" i="1"/>
  <c r="E22" i="1"/>
  <c r="C22" i="1"/>
  <c r="E21" i="1"/>
  <c r="C21" i="1"/>
  <c r="E20" i="1"/>
  <c r="C20" i="1"/>
  <c r="E19" i="1"/>
  <c r="C19" i="1"/>
  <c r="E18" i="1"/>
  <c r="C7" i="1"/>
  <c r="A7" i="1"/>
  <c r="E4" i="1"/>
  <c r="D4" i="1"/>
  <c r="B4" i="1"/>
  <c r="A4" i="1"/>
  <c r="AO25" i="3" l="1"/>
  <c r="AP25" i="3"/>
  <c r="AQ25" i="3"/>
  <c r="AO24" i="3"/>
  <c r="AP24" i="3"/>
  <c r="AQ24" i="3"/>
  <c r="AO23" i="3"/>
  <c r="AP23" i="3"/>
  <c r="AQ23" i="3"/>
  <c r="AQ22" i="3"/>
  <c r="AO22" i="3"/>
  <c r="AP22" i="3" s="1"/>
  <c r="AO21" i="3"/>
  <c r="AP21" i="3"/>
  <c r="AQ21" i="3"/>
  <c r="AO20" i="3"/>
  <c r="AP20" i="3"/>
  <c r="AQ20" i="3"/>
  <c r="AQ19" i="3"/>
  <c r="AO19" i="3"/>
  <c r="AP19" i="3" s="1"/>
  <c r="AO18" i="3"/>
  <c r="AP18" i="3" s="1"/>
  <c r="AQ18" i="3"/>
  <c r="AO17" i="3"/>
  <c r="AP17" i="3"/>
  <c r="AQ17" i="3"/>
  <c r="AQ16" i="3"/>
  <c r="AO16" i="3"/>
  <c r="AP16" i="3"/>
  <c r="AP15" i="3"/>
  <c r="AQ15" i="3"/>
  <c r="AO15" i="3"/>
  <c r="AO14" i="3"/>
  <c r="AP14" i="3"/>
  <c r="AQ14" i="3"/>
  <c r="AO13" i="3"/>
  <c r="AP13" i="3" s="1"/>
  <c r="AQ13" i="3"/>
  <c r="AQ12" i="3"/>
  <c r="AO12" i="3"/>
  <c r="AP12" i="3" s="1"/>
  <c r="AL11" i="3"/>
  <c r="AN11" i="3" s="1"/>
  <c r="D5" i="2"/>
  <c r="O5" i="2" s="1"/>
  <c r="AO10" i="3"/>
  <c r="AQ10" i="3"/>
  <c r="AP10" i="3"/>
  <c r="F16" i="2"/>
  <c r="J16" i="2" s="1"/>
  <c r="B23" i="1"/>
  <c r="F15" i="2"/>
  <c r="J15" i="2" s="1"/>
  <c r="B22" i="1"/>
  <c r="F14" i="2"/>
  <c r="J14" i="2" s="1"/>
  <c r="B21" i="1"/>
  <c r="B20" i="1"/>
  <c r="F13" i="2"/>
  <c r="J13" i="2" s="1"/>
  <c r="F12" i="2"/>
  <c r="J12" i="2" s="1"/>
  <c r="B19" i="1"/>
  <c r="B18" i="1"/>
  <c r="F11" i="2"/>
  <c r="J11" i="2" s="1"/>
  <c r="F10" i="2"/>
  <c r="J10" i="2" s="1"/>
  <c r="B17" i="1"/>
  <c r="F9" i="2"/>
  <c r="J9" i="2" s="1"/>
  <c r="B16" i="1"/>
  <c r="F8" i="2"/>
  <c r="J8" i="2" s="1"/>
  <c r="B15" i="1"/>
  <c r="F7" i="2"/>
  <c r="J7" i="2" s="1"/>
  <c r="B14" i="1"/>
  <c r="B13" i="1"/>
  <c r="F6" i="2"/>
  <c r="J6" i="2" s="1"/>
  <c r="B5" i="2"/>
  <c r="AL7" i="3"/>
  <c r="AN7" i="3" s="1"/>
  <c r="H16" i="2"/>
  <c r="M16" i="2"/>
  <c r="H15" i="2"/>
  <c r="M15" i="2"/>
  <c r="H14" i="2"/>
  <c r="M14" i="2"/>
  <c r="H13" i="2"/>
  <c r="M13" i="2"/>
  <c r="H12" i="2"/>
  <c r="M12" i="2"/>
  <c r="G11" i="2"/>
  <c r="C18" i="1"/>
  <c r="O10" i="2"/>
  <c r="E17" i="1"/>
  <c r="G10" i="2"/>
  <c r="C17" i="1"/>
  <c r="O9" i="2"/>
  <c r="E16" i="1"/>
  <c r="G9" i="2"/>
  <c r="C16" i="1"/>
  <c r="O8" i="2"/>
  <c r="E15" i="1"/>
  <c r="G8" i="2"/>
  <c r="C15" i="1"/>
  <c r="O7" i="2"/>
  <c r="E14" i="1"/>
  <c r="G7" i="2"/>
  <c r="C14" i="1"/>
  <c r="O6" i="2"/>
  <c r="E13" i="1"/>
  <c r="G6" i="2"/>
  <c r="C13" i="1"/>
  <c r="E12" i="1"/>
  <c r="G5" i="2"/>
  <c r="C12" i="1"/>
  <c r="AN9" i="3"/>
  <c r="AN8" i="3"/>
  <c r="O15" i="2"/>
  <c r="O14" i="2"/>
  <c r="O13" i="2"/>
  <c r="O12" i="2"/>
  <c r="O11" i="2"/>
  <c r="AO11" i="3" l="1"/>
  <c r="AP11" i="3"/>
  <c r="AQ11" i="3"/>
  <c r="D12" i="1"/>
  <c r="I7" i="1"/>
  <c r="F5" i="2"/>
  <c r="B12" i="1"/>
  <c r="AO7" i="3"/>
  <c r="AQ7" i="3"/>
  <c r="AP7" i="3"/>
  <c r="M11" i="2"/>
  <c r="H11" i="2"/>
  <c r="M10" i="2"/>
  <c r="H10" i="2"/>
  <c r="M9" i="2"/>
  <c r="H9" i="2"/>
  <c r="H8" i="2"/>
  <c r="M8" i="2"/>
  <c r="H7" i="2"/>
  <c r="M7" i="2"/>
  <c r="H6" i="2"/>
  <c r="M6" i="2"/>
  <c r="M5" i="2"/>
  <c r="N5" i="2" s="1"/>
  <c r="E7" i="1"/>
  <c r="AQ9" i="3"/>
  <c r="AO9" i="3"/>
  <c r="AP9" i="3"/>
  <c r="AO8" i="3"/>
  <c r="AP8" i="3"/>
  <c r="AQ8" i="3"/>
  <c r="I13" i="1" l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17" i="1"/>
  <c r="J17" i="1"/>
  <c r="K17" i="1"/>
  <c r="L17" i="1"/>
  <c r="L6" i="2"/>
  <c r="N6" i="2" s="1"/>
  <c r="F12" i="1"/>
  <c r="P5" i="2"/>
  <c r="Q5" i="2" s="1"/>
  <c r="K7" i="1"/>
  <c r="J5" i="2"/>
  <c r="K5" i="2" s="1"/>
  <c r="I6" i="2" s="1"/>
  <c r="K6" i="2" s="1"/>
  <c r="I7" i="2" s="1"/>
  <c r="K7" i="2" s="1"/>
  <c r="I8" i="2" s="1"/>
  <c r="K8" i="2" s="1"/>
  <c r="I9" i="2" s="1"/>
  <c r="K9" i="2" s="1"/>
  <c r="I10" i="2" s="1"/>
  <c r="K10" i="2" s="1"/>
  <c r="I11" i="2" s="1"/>
  <c r="K11" i="2" s="1"/>
  <c r="I12" i="2" s="1"/>
  <c r="K12" i="2" s="1"/>
  <c r="I13" i="2" s="1"/>
  <c r="K13" i="2" s="1"/>
  <c r="I14" i="2" s="1"/>
  <c r="K14" i="2" s="1"/>
  <c r="I15" i="2" s="1"/>
  <c r="K15" i="2" s="1"/>
  <c r="I16" i="2" s="1"/>
  <c r="K16" i="2" s="1"/>
  <c r="H5" i="2"/>
  <c r="P6" i="2" l="1"/>
  <c r="Q6" i="2" s="1"/>
  <c r="L7" i="2"/>
  <c r="N7" i="2" s="1"/>
  <c r="F13" i="1"/>
  <c r="F14" i="1" l="1"/>
  <c r="P7" i="2"/>
  <c r="Q7" i="2" s="1"/>
  <c r="L8" i="2"/>
  <c r="N8" i="2" s="1"/>
  <c r="P8" i="2" l="1"/>
  <c r="Q8" i="2" s="1"/>
  <c r="L9" i="2"/>
  <c r="N9" i="2" s="1"/>
  <c r="F15" i="1"/>
  <c r="P9" i="2" l="1"/>
  <c r="Q9" i="2" s="1"/>
  <c r="F16" i="1"/>
  <c r="L10" i="2"/>
  <c r="N10" i="2" s="1"/>
  <c r="L11" i="2" l="1"/>
  <c r="N11" i="2" s="1"/>
  <c r="P10" i="2"/>
  <c r="Q10" i="2" s="1"/>
  <c r="F17" i="1"/>
  <c r="P11" i="2" l="1"/>
  <c r="Q11" i="2" s="1"/>
  <c r="L12" i="2"/>
  <c r="N12" i="2" s="1"/>
  <c r="F18" i="1"/>
  <c r="P12" i="2" l="1"/>
  <c r="Q12" i="2" s="1"/>
  <c r="L13" i="2"/>
  <c r="N13" i="2" s="1"/>
  <c r="F19" i="1"/>
  <c r="P13" i="2" l="1"/>
  <c r="Q13" i="2" s="1"/>
  <c r="L14" i="2"/>
  <c r="N14" i="2" s="1"/>
  <c r="F20" i="1"/>
  <c r="P14" i="2" l="1"/>
  <c r="Q14" i="2" s="1"/>
  <c r="L15" i="2"/>
  <c r="N15" i="2" s="1"/>
  <c r="F21" i="1"/>
  <c r="P15" i="2" l="1"/>
  <c r="Q15" i="2" s="1"/>
  <c r="L16" i="2"/>
  <c r="N16" i="2" s="1"/>
  <c r="F22" i="1"/>
  <c r="P16" i="2" l="1"/>
  <c r="Q16" i="2" s="1"/>
  <c r="F23" i="1"/>
  <c r="G7" i="1"/>
</calcChain>
</file>

<file path=xl/sharedStrings.xml><?xml version="1.0" encoding="utf-8"?>
<sst xmlns="http://schemas.openxmlformats.org/spreadsheetml/2006/main" count="363" uniqueCount="223">
  <si>
    <t>Budgetplanung Unternehmen – Dashboard</t>
  </si>
  <si>
    <t>Unternehmen</t>
  </si>
  <si>
    <t>Szenario</t>
  </si>
  <si>
    <t>Geschäftsjahr</t>
  </si>
  <si>
    <t>Mindestliquidität</t>
  </si>
  <si>
    <t>Umsatz Ist</t>
  </si>
  <si>
    <t>Ausgaben Ist</t>
  </si>
  <si>
    <t>Ergebnis Ist</t>
  </si>
  <si>
    <t>Endliquidität Ist</t>
  </si>
  <si>
    <t>Budgetausnutzung</t>
  </si>
  <si>
    <t>Kritische Positionen</t>
  </si>
  <si>
    <t>Monat</t>
  </si>
  <si>
    <t>Umsatz Plan</t>
  </si>
  <si>
    <t>Ausgaben Plan</t>
  </si>
  <si>
    <t>Endbestand Ist</t>
  </si>
  <si>
    <t>Top 5 Abweichungen</t>
  </si>
  <si>
    <t>Jan</t>
  </si>
  <si>
    <t>Rang</t>
  </si>
  <si>
    <t>Budgetposition</t>
  </si>
  <si>
    <t>Bereich</t>
  </si>
  <si>
    <t>Abweichung €</t>
  </si>
  <si>
    <t>Status</t>
  </si>
  <si>
    <t>Feb</t>
  </si>
  <si>
    <t>Mär</t>
  </si>
  <si>
    <t>Apr</t>
  </si>
  <si>
    <t>Mai</t>
  </si>
  <si>
    <t>Jun</t>
  </si>
  <si>
    <t>Jul</t>
  </si>
  <si>
    <t>Aug</t>
  </si>
  <si>
    <t>Sep</t>
  </si>
  <si>
    <t>Interpretation</t>
  </si>
  <si>
    <t>Okt</t>
  </si>
  <si>
    <t>Umsatz/Ist und Ausgaben/Ist zeigen die aktuelle Unternehmensplanung mit Beispieldaten.</t>
  </si>
  <si>
    <t>Nov</t>
  </si>
  <si>
    <t>Budgetausnutzung &gt; 100 % bedeutet: Ist-Ausgaben liegen über Plan.</t>
  </si>
  <si>
    <t>Dez</t>
  </si>
  <si>
    <t>Positive Abweichung ist günstig: mehr Umsatz oder niedrigere Kosten als geplant.</t>
  </si>
  <si>
    <t>Passe Stammdaten, Budgetpositionen und Ist-Werte an dein Unternehmen an.</t>
  </si>
  <si>
    <t>Budgetplanung Unternehmen – Monatsübersicht</t>
  </si>
  <si>
    <t>Ergebnis Plan</t>
  </si>
  <si>
    <t>Abw. Ergebnis</t>
  </si>
  <si>
    <t>Anfang Plan</t>
  </si>
  <si>
    <t>Cashflow Plan</t>
  </si>
  <si>
    <t>Endbestand Plan</t>
  </si>
  <si>
    <t>Anfang Ist</t>
  </si>
  <si>
    <t>Cashflow Ist</t>
  </si>
  <si>
    <t>Liquiditätsstatus</t>
  </si>
  <si>
    <t>Kommentar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</si>
  <si>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</si>
  <si>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</si>
  <si>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</si>
  <si>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</si>
  <si>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</si>
  <si>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</si>
  <si>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</si>
  <si>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</si>
  <si>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</si>
  <si>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</si>
  <si>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</si>
  <si>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Budgetplanung Unternehmen – Detailplanung nach Kostenstellen</t>
  </si>
  <si>
    <t>Eingaben: gelb/blau. Formeln: automatisch. Abweichung ist positiv, wenn Umsatz besser oder Kosten niedriger als geplant sind.</t>
  </si>
  <si>
    <t>ID</t>
  </si>
  <si>
    <t>Aktiv</t>
  </si>
  <si>
    <t>Art</t>
  </si>
  <si>
    <t>Kostenstelle</t>
  </si>
  <si>
    <t>Kategorie</t>
  </si>
  <si>
    <t>Verantwortlich</t>
  </si>
  <si>
    <t>Planungslogik</t>
  </si>
  <si>
    <t>Startmonat</t>
  </si>
  <si>
    <t>Endmonat</t>
  </si>
  <si>
    <t>Menge</t>
  </si>
  <si>
    <t>Einzelbetrag</t>
  </si>
  <si>
    <t>Jan Plan</t>
  </si>
  <si>
    <t>Jan Ist</t>
  </si>
  <si>
    <t>Feb Plan</t>
  </si>
  <si>
    <t>Feb Ist</t>
  </si>
  <si>
    <t>Mär Plan</t>
  </si>
  <si>
    <t>Mär Ist</t>
  </si>
  <si>
    <t>Apr Plan</t>
  </si>
  <si>
    <t>Apr Ist</t>
  </si>
  <si>
    <t>Mai Plan</t>
  </si>
  <si>
    <t>Mai Ist</t>
  </si>
  <si>
    <t>Jun Plan</t>
  </si>
  <si>
    <t>Jun Ist</t>
  </si>
  <si>
    <t>Jul Plan</t>
  </si>
  <si>
    <t>Jul Ist</t>
  </si>
  <si>
    <t>Aug Plan</t>
  </si>
  <si>
    <t>Aug Ist</t>
  </si>
  <si>
    <t>Sep Plan</t>
  </si>
  <si>
    <t>Sep Ist</t>
  </si>
  <si>
    <t>Okt Plan</t>
  </si>
  <si>
    <t>Okt Ist</t>
  </si>
  <si>
    <t>Nov Plan</t>
  </si>
  <si>
    <t>Nov Ist</t>
  </si>
  <si>
    <t>Dez Plan</t>
  </si>
  <si>
    <t>Dez Ist</t>
  </si>
  <si>
    <t>Jahresplan</t>
  </si>
  <si>
    <t>Jahres-Ist</t>
  </si>
  <si>
    <t>Abweichung %</t>
  </si>
  <si>
    <t>Abs. Abweichung</t>
  </si>
  <si>
    <t>Ja</t>
  </si>
  <si>
    <t>Einnahme</t>
  </si>
  <si>
    <t>Vertrieb</t>
  </si>
  <si>
    <t>KS-110</t>
  </si>
  <si>
    <t>Abo-Umsatz</t>
  </si>
  <si>
    <t>B2B-Wartungsverträge</t>
  </si>
  <si>
    <t>Anna Keller</t>
  </si>
  <si>
    <t>Monatlich</t>
  </si>
  <si>
    <t>Stabiler wiederkehrender Umsatz</t>
  </si>
  <si>
    <t>KS-120</t>
  </si>
  <si>
    <t>Projektumsatz</t>
  </si>
  <si>
    <t>Implementierungsprojekte KMU</t>
  </si>
  <si>
    <t>Projektgeschäft mit monatlicher Pipeline</t>
  </si>
  <si>
    <t>Geschäftsführung</t>
  </si>
  <si>
    <t>KS-130</t>
  </si>
  <si>
    <t>Beratung</t>
  </si>
  <si>
    <t>Strategieworkshops</t>
  </si>
  <si>
    <t>Marius Stein</t>
  </si>
  <si>
    <t>Fokus auf Workshops ab Februar</t>
  </si>
  <si>
    <t>Kundenservice</t>
  </si>
  <si>
    <t>KS-140</t>
  </si>
  <si>
    <t>Schulung</t>
  </si>
  <si>
    <t>Inhouse-Schulungen Kunden</t>
  </si>
  <si>
    <t>Nina Hartmann</t>
  </si>
  <si>
    <t>Quartalsweise</t>
  </si>
  <si>
    <t>Quartalsweise Schulungsblöcke</t>
  </si>
  <si>
    <t>Ausgabe</t>
  </si>
  <si>
    <t>HR</t>
  </si>
  <si>
    <t>KS-210</t>
  </si>
  <si>
    <t>Personalkosten</t>
  </si>
  <si>
    <t>Gehälter Festangestellte</t>
  </si>
  <si>
    <t>Tobias Weber</t>
  </si>
  <si>
    <t>Bruttokosten inkl. Nebenkosten</t>
  </si>
  <si>
    <t>KS-220</t>
  </si>
  <si>
    <t>Variable Vertriebsprovisionen</t>
  </si>
  <si>
    <t>Provisionspool</t>
  </si>
  <si>
    <t>Marketing</t>
  </si>
  <si>
    <t>KS-310</t>
  </si>
  <si>
    <t>Performance-Marketing</t>
  </si>
  <si>
    <t>Lea Brandt</t>
  </si>
  <si>
    <t>Paid Search und Social</t>
  </si>
  <si>
    <t>KS-320</t>
  </si>
  <si>
    <t>Messeauftritte &amp; Sponsoring</t>
  </si>
  <si>
    <t>Quartalskampagnen und Events</t>
  </si>
  <si>
    <t>Operations</t>
  </si>
  <si>
    <t>KS-410</t>
  </si>
  <si>
    <t>Miete</t>
  </si>
  <si>
    <t>Büro &amp; Lager</t>
  </si>
  <si>
    <t>Omar Yilmaz</t>
  </si>
  <si>
    <t>Miete inkl. Nebenkosten</t>
  </si>
  <si>
    <t>IT</t>
  </si>
  <si>
    <t>KS-510</t>
  </si>
  <si>
    <t>Software</t>
  </si>
  <si>
    <t>ERP, CRM &amp; Kollaboration</t>
  </si>
  <si>
    <t>Lizenzen und SaaS</t>
  </si>
  <si>
    <t>Produkt</t>
  </si>
  <si>
    <t>KS-520</t>
  </si>
  <si>
    <t>Fremdleistungen</t>
  </si>
  <si>
    <t>UX-Research &amp; externe Entwicklung</t>
  </si>
  <si>
    <t>Externe Produktunterstützung</t>
  </si>
  <si>
    <t>KS-530</t>
  </si>
  <si>
    <t>Cloud-Hosting &amp; Monitoring</t>
  </si>
  <si>
    <t>Infrastrukturkosten</t>
  </si>
  <si>
    <t>Finanzen</t>
  </si>
  <si>
    <t>KS-610</t>
  </si>
  <si>
    <t>Versicherung</t>
  </si>
  <si>
    <t>Betriebshaftpflicht &amp; Rechtsschutz</t>
  </si>
  <si>
    <t>Quartalsbeiträge</t>
  </si>
  <si>
    <t>KS-620</t>
  </si>
  <si>
    <t>Steuern</t>
  </si>
  <si>
    <t>Steuervorauszahlungen</t>
  </si>
  <si>
    <t>Vorauszahlungen</t>
  </si>
  <si>
    <t>KS-710</t>
  </si>
  <si>
    <t>Reisen</t>
  </si>
  <si>
    <t>Kundenbesuche &amp; Lieferantentermine</t>
  </si>
  <si>
    <t>Reisebudget</t>
  </si>
  <si>
    <t>KS-720</t>
  </si>
  <si>
    <t>Hardware</t>
  </si>
  <si>
    <t>Arbeitsplätze &amp; Testgeräte</t>
  </si>
  <si>
    <t>Einmalig</t>
  </si>
  <si>
    <t>Einmalige Anschaffung</t>
  </si>
  <si>
    <t>KS-730</t>
  </si>
  <si>
    <t>Weiterbildung</t>
  </si>
  <si>
    <t>Team-Training &amp; Zertifizierungen</t>
  </si>
  <si>
    <t>Weiterbildungsbudget</t>
  </si>
  <si>
    <t>KS-810</t>
  </si>
  <si>
    <t>Finanzierung</t>
  </si>
  <si>
    <t>Kreditrate Wachstumskredit</t>
  </si>
  <si>
    <t>Annuität</t>
  </si>
  <si>
    <t>KS-900</t>
  </si>
  <si>
    <t>Rücklage</t>
  </si>
  <si>
    <t>Unvorhergesehene Ausgaben</t>
  </si>
  <si>
    <t>Operativer Sicherheitspuffer</t>
  </si>
  <si>
    <t>Budgetplanung Unternehmen – Stammdaten</t>
  </si>
  <si>
    <t>Nordlicht Werkstatt GmbH</t>
  </si>
  <si>
    <t>Beispieldaten: Namen und Werte sind frei erfunden.</t>
  </si>
  <si>
    <t>Wird für Beschriftungen und Planung verwendet.</t>
  </si>
  <si>
    <t>Anfangsliquidität</t>
  </si>
  <si>
    <t>Startbestand Bank/Kasse zu Jahresbeginn.</t>
  </si>
  <si>
    <t>Warnwert für Liquiditätsstatus.</t>
  </si>
  <si>
    <t>Warnschwelle Abweichung</t>
  </si>
  <si>
    <t>Abweichungen oberhalb dieses Werts prüfen.</t>
  </si>
  <si>
    <t>Kritische Abweichung</t>
  </si>
  <si>
    <t>Abweichungen oberhalb dieses Werts kritisch.</t>
  </si>
  <si>
    <t>Ausgewähltes Szenario</t>
  </si>
  <si>
    <t>Basis</t>
  </si>
  <si>
    <t>Steuert Planwerte in der Budgetplanung.</t>
  </si>
  <si>
    <t>Umsatzfaktor</t>
  </si>
  <si>
    <t>Kostenfaktor</t>
  </si>
  <si>
    <t>Konservativ</t>
  </si>
  <si>
    <t>Wachstum</t>
  </si>
  <si>
    <t>Halbjährlich</t>
  </si>
  <si>
    <t>Nutzung</t>
  </si>
  <si>
    <t>1</t>
  </si>
  <si>
    <t>Gelbe Zellen sind Eingaben oder Beispielwerte, die überschrieben werden können.</t>
  </si>
  <si>
    <t>2</t>
  </si>
  <si>
    <t>Planwerte in Budgetplanung werden automatisch aus Menge, Einzelbetrag, Rhythmus, Start/Ende und Szenario berechnet.</t>
  </si>
  <si>
    <t>3</t>
  </si>
  <si>
    <t>Ist-Werte können monatlich eingetragen werden; Dashboard und Monatsübersicht aktualisieren sich automatisch.</t>
  </si>
  <si>
    <t>4</t>
  </si>
  <si>
    <t>Abweichung ist positiv, wenn Umsatz über Plan oder Kosten unter Plan liegen.</t>
  </si>
  <si>
    <t>5</t>
  </si>
  <si>
    <t>Die Vorlage ist auf Unternehmensbudget, Kostenstellen, Soll-Ist-Vergleich und Liquiditätsblick ausgelegt.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</si>
</sst>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;[Red]\(#,##0\ \€\);\-"/>
    <numFmt numFmtId="165" formatCode="0.0%;[Red]\(0.0%\);\-"/>
    <numFmt numFmtId="166" formatCode="0.0%"/>
  </numFmts>
  <fonts count="12" x14ac:knownFonts="1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sz val="11"/>
      <color rgb="FF0000FF"/>
      <name val="Carlito"/>
    </font>
    <font>
      <i/>
      <sz val="11"/>
      <color rgb="FF666666"/>
      <name val="Carlito"/>
    </font>
    <font>
      <b/>
      <sz val="11"/>
      <color rgb="FFFFFFFF"/>
      <name val="Carlito"/>
    </font>
    <font>
      <i/>
      <sz val="11"/>
      <color rgb="FF234E70"/>
      <name val="Carlito"/>
    </font>
    <font>
      <sz val="11"/>
      <color rgb="FF000000"/>
      <name val="Carlito"/>
    </font>
    <font>
      <b/>
      <sz val="14"/>
      <name val="Carlito"/>
    </font>
    <font>
      <sz val="11"/>
      <name val="Carlito"/>
    </font>
    <font>
      <b/>
      <sz val="22"/>
      <color rgb="FFFFFFFF"/>
      <name val="Carlito"/>
      <family val="2"/>
    </font>
    <font>
      <sz val="22"/>
      <name val="Carlito"/>
      <family val="2"/>
    </font>
  </fonts>
  <fills count="9">
    <fill>
      <patternFill patternType="none"/>
    </fill>
    <fill>
      <patternFill patternType="gray125"/>
    </fill>
    <fill>
      <patternFill patternType="solid">
        <fgColor rgb="FF0B1F33"/>
      </patternFill>
    </fill>
    <fill>
      <patternFill patternType="solid">
        <fgColor rgb="FFEEF4F8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rgb="FFF7FAFC"/>
      </patternFill>
    </fill>
    <fill>
      <patternFill patternType="solid">
        <fgColor rgb="FFEAF4FF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3" borderId="0" xfId="1" applyFont="1" applyFill="1"/>
    <xf numFmtId="0" fontId="3" fillId="4" borderId="0" xfId="1" applyFont="1" applyFill="1"/>
    <xf numFmtId="164" fontId="3" fillId="4" borderId="0" xfId="1" applyNumberFormat="1" applyFont="1" applyFill="1"/>
    <xf numFmtId="165" fontId="3" fillId="4" borderId="0" xfId="1" applyNumberFormat="1" applyFont="1" applyFill="1"/>
    <xf numFmtId="0" fontId="4" fillId="0" borderId="0" xfId="1" applyFont="1" applyAlignment="1">
      <alignment wrapText="1"/>
    </xf>
    <xf numFmtId="0" fontId="5" fillId="5" borderId="0" xfId="1" applyFont="1" applyFill="1"/>
    <xf numFmtId="166" fontId="0" fillId="0" borderId="0" xfId="1" applyNumberFormat="1" applyFont="1"/>
    <xf numFmtId="0" fontId="0" fillId="6" borderId="0" xfId="1" applyFont="1" applyFill="1"/>
    <xf numFmtId="0" fontId="0" fillId="0" borderId="0" xfId="1" applyFont="1" applyAlignment="1">
      <alignment wrapText="1"/>
    </xf>
    <xf numFmtId="0" fontId="0" fillId="6" borderId="0" xfId="1" applyFont="1" applyFill="1" applyAlignment="1">
      <alignment wrapText="1"/>
    </xf>
    <xf numFmtId="0" fontId="5" fillId="5" borderId="0" xfId="1" applyFont="1" applyFill="1" applyAlignment="1">
      <alignment wrapText="1"/>
    </xf>
    <xf numFmtId="0" fontId="5" fillId="5" borderId="0" xfId="1" applyFont="1" applyFill="1" applyAlignment="1">
      <alignment horizontal="center" wrapText="1"/>
    </xf>
    <xf numFmtId="0" fontId="5" fillId="5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wrapText="1"/>
    </xf>
    <xf numFmtId="1" fontId="3" fillId="4" borderId="0" xfId="1" applyNumberFormat="1" applyFont="1" applyFill="1" applyAlignment="1">
      <alignment wrapText="1"/>
    </xf>
    <xf numFmtId="164" fontId="3" fillId="4" borderId="0" xfId="1" applyNumberFormat="1" applyFont="1" applyFill="1" applyAlignment="1">
      <alignment wrapText="1"/>
    </xf>
    <xf numFmtId="164" fontId="7" fillId="0" borderId="0" xfId="1" applyNumberFormat="1" applyFont="1" applyAlignment="1">
      <alignment wrapText="1"/>
    </xf>
    <xf numFmtId="165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wrapText="1"/>
    </xf>
    <xf numFmtId="0" fontId="2" fillId="8" borderId="0" xfId="1" applyFont="1" applyFill="1" applyAlignment="1">
      <alignment wrapText="1"/>
    </xf>
    <xf numFmtId="0" fontId="2" fillId="7" borderId="0" xfId="1" applyFont="1" applyFill="1" applyAlignment="1">
      <alignment horizontal="center" vertical="center" wrapText="1"/>
    </xf>
    <xf numFmtId="164" fontId="2" fillId="7" borderId="0" xfId="1" applyNumberFormat="1" applyFont="1" applyFill="1" applyAlignment="1">
      <alignment horizontal="center" vertical="center" wrapText="1"/>
    </xf>
    <xf numFmtId="0" fontId="0" fillId="0" borderId="0" xfId="0"/>
    <xf numFmtId="0" fontId="5" fillId="5" borderId="0" xfId="1" applyFont="1" applyFill="1" applyAlignment="1">
      <alignment horizontal="center" vertical="center" wrapText="1"/>
    </xf>
    <xf numFmtId="164" fontId="8" fillId="7" borderId="0" xfId="1" applyNumberFormat="1" applyFont="1" applyFill="1" applyAlignment="1">
      <alignment horizontal="center" vertical="center"/>
    </xf>
    <xf numFmtId="165" fontId="8" fillId="7" borderId="0" xfId="1" applyNumberFormat="1" applyFont="1" applyFill="1" applyAlignment="1">
      <alignment horizontal="center" vertical="center"/>
    </xf>
    <xf numFmtId="1" fontId="8" fillId="7" borderId="0" xfId="1" applyNumberFormat="1" applyFont="1" applyFill="1" applyAlignment="1">
      <alignment horizontal="center" vertical="center"/>
    </xf>
    <xf numFmtId="0" fontId="5" fillId="5" borderId="0" xfId="1" applyFont="1" applyFill="1"/>
    <xf numFmtId="0" fontId="5" fillId="2" borderId="0" xfId="1" applyFont="1" applyFill="1"/>
    <xf numFmtId="0" fontId="0" fillId="6" borderId="0" xfId="1" applyFont="1" applyFill="1" applyAlignment="1">
      <alignment wrapText="1"/>
    </xf>
    <xf numFmtId="0" fontId="1" fillId="2" borderId="0" xfId="1" applyFont="1" applyFill="1"/>
    <xf numFmtId="0" fontId="1" fillId="2" borderId="0" xfId="1" applyFont="1" applyFill="1" applyAlignment="1">
      <alignment horizontal="left" vertical="center"/>
    </xf>
    <xf numFmtId="0" fontId="6" fillId="7" borderId="0" xfId="1" applyFont="1" applyFill="1"/>
    <xf numFmtId="0" fontId="0" fillId="6" borderId="0" xfId="1" applyFont="1" applyFill="1"/>
    <xf numFmtId="0" fontId="10" fillId="2" borderId="0" xfId="1" applyFont="1" applyFill="1" applyAlignment="1">
      <alignment vertical="center"/>
    </xf>
    <xf numFmtId="0" fontId="11" fillId="0" borderId="0" xfId="0" applyFont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b/>
        <color rgb="FF14532D"/>
      </font>
      <fill>
        <patternFill patternType="solid">
          <bgColor rgb="FFBBF7D0"/>
        </patternFill>
      </fill>
    </dxf>
    <dxf>
      <font>
        <b/>
        <color rgb="FF78350F"/>
      </font>
      <fill>
        <patternFill patternType="solid">
          <bgColor rgb="FFFDE68A"/>
        </patternFill>
      </fill>
    </dxf>
    <dxf>
      <font>
        <b/>
        <color rgb="FF7F1D1D"/>
      </font>
      <fill>
        <patternFill patternType="solid">
          <bgColor rgb="FFFCA5A5"/>
        </patternFill>
      </fill>
    </dxf>
    <dxf>
      <font>
        <b/>
        <color rgb="FF14532D"/>
      </font>
      <fill>
        <patternFill patternType="solid">
          <bgColor rgb="FFBBF7D0"/>
        </patternFill>
      </fill>
    </dxf>
    <dxf>
      <font>
        <b/>
        <color rgb="FF78350F"/>
      </font>
      <fill>
        <patternFill patternType="solid">
          <bgColor rgb="FFFDE68A"/>
        </patternFill>
      </fill>
    </dxf>
    <dxf>
      <font>
        <b/>
        <color rgb="FF7F1D1D"/>
      </font>
      <fill>
        <patternFill patternType="solid">
          <bgColor rgb="FFFCA5A5"/>
        </patternFill>
      </fill>
    </dxf>
    <dxf>
      <font>
        <b/>
        <color rgb="FF14532D"/>
      </font>
      <fill>
        <patternFill patternType="solid">
          <bgColor rgb="FFBBF7D0"/>
        </patternFill>
      </fill>
    </dxf>
    <dxf>
      <font>
        <b/>
        <color rgb="FF78350F"/>
      </font>
      <fill>
        <patternFill patternType="solid">
          <bgColor rgb="FFFDE68A"/>
        </patternFill>
      </fill>
    </dxf>
    <dxf>
      <font>
        <b/>
        <color rgb="FF7F1D1D"/>
      </font>
      <fill>
        <patternFill patternType="solid">
          <bgColor rgb="FFFC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Umsatz Plan</c:v>
          </c:tx>
          <c:invertIfNegative val="1"/>
          <c:cat>
            <c:strRef>
              <c:f>Dashboard!$A$12:$A$23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Dashboard!$B$12:$B$23</c:f>
              <c:numCache>
                <c:formatCode>General</c:formatCode>
                <c:ptCount val="12"/>
                <c:pt idx="0">
                  <c:v>122200</c:v>
                </c:pt>
                <c:pt idx="1">
                  <c:v>134700</c:v>
                </c:pt>
                <c:pt idx="2">
                  <c:v>152200</c:v>
                </c:pt>
                <c:pt idx="3">
                  <c:v>134700</c:v>
                </c:pt>
                <c:pt idx="4">
                  <c:v>134700</c:v>
                </c:pt>
                <c:pt idx="5">
                  <c:v>152200</c:v>
                </c:pt>
                <c:pt idx="6">
                  <c:v>134700</c:v>
                </c:pt>
                <c:pt idx="7">
                  <c:v>134700</c:v>
                </c:pt>
                <c:pt idx="8">
                  <c:v>152200</c:v>
                </c:pt>
                <c:pt idx="9">
                  <c:v>134700</c:v>
                </c:pt>
                <c:pt idx="10">
                  <c:v>134700</c:v>
                </c:pt>
                <c:pt idx="11">
                  <c:v>152200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936-8BB7-F7FB595A31AE}"/>
            </c:ext>
          </c:extLst>
        </c:ser>
        <c:ser>
          <c:idx val="1"/>
          <c:order val="1"/>
          <c:tx>
            <c:v>Umsatz Ist</c:v>
          </c:tx>
          <c:invertIfNegative val="1"/>
          <c:cat>
            <c:strRef>
              <c:f>Dashboard!$A$12:$A$23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Dashboard!$C$12:$C$23</c:f>
              <c:numCache>
                <c:formatCode>General</c:formatCode>
                <c:ptCount val="12"/>
                <c:pt idx="0">
                  <c:v>128900</c:v>
                </c:pt>
                <c:pt idx="1">
                  <c:v>131750</c:v>
                </c:pt>
                <c:pt idx="2">
                  <c:v>158500</c:v>
                </c:pt>
                <c:pt idx="3">
                  <c:v>129000</c:v>
                </c:pt>
                <c:pt idx="4">
                  <c:v>136900</c:v>
                </c:pt>
                <c:pt idx="5">
                  <c:v>155700</c:v>
                </c:pt>
                <c:pt idx="6">
                  <c:v>124700</c:v>
                </c:pt>
                <c:pt idx="7">
                  <c:v>136100</c:v>
                </c:pt>
                <c:pt idx="8">
                  <c:v>154900</c:v>
                </c:pt>
                <c:pt idx="9">
                  <c:v>138950</c:v>
                </c:pt>
                <c:pt idx="10">
                  <c:v>145000</c:v>
                </c:pt>
                <c:pt idx="11">
                  <c:v>150450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936-8BB7-F7FB595A31AE}"/>
            </c:ext>
          </c:extLst>
        </c:ser>
        <c:ser>
          <c:idx val="2"/>
          <c:order val="2"/>
          <c:tx>
            <c:v>Ausgaben Plan</c:v>
          </c:tx>
          <c:invertIfNegative val="1"/>
          <c:cat>
            <c:strRef>
              <c:f>Dashboard!$A$12:$A$23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Dashboard!$D$12:$D$23</c:f>
              <c:numCache>
                <c:formatCode>General</c:formatCode>
                <c:ptCount val="12"/>
                <c:pt idx="0">
                  <c:v>90200</c:v>
                </c:pt>
                <c:pt idx="1">
                  <c:v>101800</c:v>
                </c:pt>
                <c:pt idx="2">
                  <c:v>99800</c:v>
                </c:pt>
                <c:pt idx="3">
                  <c:v>90200</c:v>
                </c:pt>
                <c:pt idx="4">
                  <c:v>119800</c:v>
                </c:pt>
                <c:pt idx="5">
                  <c:v>99800</c:v>
                </c:pt>
                <c:pt idx="6">
                  <c:v>90200</c:v>
                </c:pt>
                <c:pt idx="7">
                  <c:v>101800</c:v>
                </c:pt>
                <c:pt idx="8">
                  <c:v>99800</c:v>
                </c:pt>
                <c:pt idx="9">
                  <c:v>90200</c:v>
                </c:pt>
                <c:pt idx="10">
                  <c:v>95000</c:v>
                </c:pt>
                <c:pt idx="11">
                  <c:v>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F-4936-8BB7-F7FB595A31AE}"/>
            </c:ext>
          </c:extLst>
        </c:ser>
        <c:ser>
          <c:idx val="3"/>
          <c:order val="3"/>
          <c:tx>
            <c:v>Ausgaben Ist</c:v>
          </c:tx>
          <c:invertIfNegative val="1"/>
          <c:cat>
            <c:strRef>
              <c:f>Dashboard!$A$12:$A$23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Dashboard!$E$12:$E$23</c:f>
              <c:numCache>
                <c:formatCode>General</c:formatCode>
                <c:ptCount val="12"/>
                <c:pt idx="0">
                  <c:v>91900</c:v>
                </c:pt>
                <c:pt idx="1">
                  <c:v>109500</c:v>
                </c:pt>
                <c:pt idx="2">
                  <c:v>99600</c:v>
                </c:pt>
                <c:pt idx="3">
                  <c:v>89200</c:v>
                </c:pt>
                <c:pt idx="4">
                  <c:v>128800</c:v>
                </c:pt>
                <c:pt idx="5">
                  <c:v>101400</c:v>
                </c:pt>
                <c:pt idx="6">
                  <c:v>93800</c:v>
                </c:pt>
                <c:pt idx="7">
                  <c:v>111000</c:v>
                </c:pt>
                <c:pt idx="8">
                  <c:v>106400</c:v>
                </c:pt>
                <c:pt idx="9">
                  <c:v>95600</c:v>
                </c:pt>
                <c:pt idx="10">
                  <c:v>104550</c:v>
                </c:pt>
                <c:pt idx="11">
                  <c:v>93850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3F-4936-8BB7-F7FB595A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1">
        <a:lumMod val="40000"/>
        <a:lumOff val="6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Endbestand Ist</c:v>
          </c:tx>
          <c:cat>
            <c:strRef>
              <c:f>Dashboard!$A$12:$A$23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Dashboard!$F$12:$F$23</c:f>
              <c:numCache>
                <c:formatCode>General</c:formatCode>
                <c:ptCount val="12"/>
                <c:pt idx="0">
                  <c:v>122000</c:v>
                </c:pt>
                <c:pt idx="1">
                  <c:v>144250</c:v>
                </c:pt>
                <c:pt idx="2">
                  <c:v>203150</c:v>
                </c:pt>
                <c:pt idx="3">
                  <c:v>242950</c:v>
                </c:pt>
                <c:pt idx="4">
                  <c:v>251050</c:v>
                </c:pt>
                <c:pt idx="5">
                  <c:v>305350</c:v>
                </c:pt>
                <c:pt idx="6">
                  <c:v>336250</c:v>
                </c:pt>
                <c:pt idx="7">
                  <c:v>361350</c:v>
                </c:pt>
                <c:pt idx="8">
                  <c:v>409850</c:v>
                </c:pt>
                <c:pt idx="9">
                  <c:v>453200</c:v>
                </c:pt>
                <c:pt idx="10">
                  <c:v>493650</c:v>
                </c:pt>
                <c:pt idx="11">
                  <c:v>550250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0-4D2F-8019-2A685BD5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1">
        <a:lumMod val="40000"/>
        <a:lumOff val="6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12</xdr:col>
      <xdr:colOff>0</xdr:colOff>
      <xdr:row>43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MonatsTabelle" displayName="MonatsTabelle" ref="A4:Q16">
  <tableColumns count="17">
    <tableColumn id="1" xr3:uid="{00000000-0010-0000-0000-000001000000}" name="Monat"/>
    <tableColumn id="2" xr3:uid="{00000000-0010-0000-0000-000002000000}" name="Umsatz Plan"/>
    <tableColumn id="3" xr3:uid="{00000000-0010-0000-0000-000003000000}" name="Umsatz Ist"/>
    <tableColumn id="4" xr3:uid="{00000000-0010-0000-0000-000004000000}" name="Ausgaben Plan"/>
    <tableColumn id="5" xr3:uid="{00000000-0010-0000-0000-000005000000}" name="Ausgaben Ist"/>
    <tableColumn id="6" xr3:uid="{00000000-0010-0000-0000-000006000000}" name="Ergebnis Plan"/>
    <tableColumn id="7" xr3:uid="{00000000-0010-0000-0000-000007000000}" name="Ergebnis Ist"/>
    <tableColumn id="8" xr3:uid="{00000000-0010-0000-0000-000008000000}" name="Abw. Ergebnis"/>
    <tableColumn id="9" xr3:uid="{00000000-0010-0000-0000-000009000000}" name="Anfang Plan"/>
    <tableColumn id="10" xr3:uid="{00000000-0010-0000-0000-00000A000000}" name="Cashflow Plan"/>
    <tableColumn id="11" xr3:uid="{00000000-0010-0000-0000-00000B000000}" name="Endbestand Plan"/>
    <tableColumn id="12" xr3:uid="{00000000-0010-0000-0000-00000C000000}" name="Anfang Ist"/>
    <tableColumn id="13" xr3:uid="{00000000-0010-0000-0000-00000D000000}" name="Cashflow Ist"/>
    <tableColumn id="14" xr3:uid="{00000000-0010-0000-0000-00000E000000}" name="Endbestand Ist"/>
    <tableColumn id="15" xr3:uid="{00000000-0010-0000-0000-00000F000000}" name="Budgetausnutzung"/>
    <tableColumn id="16" xr3:uid="{00000000-0010-0000-0000-000010000000}" name="Liquiditätsstatus"/>
    <tableColumn id="17" xr3:uid="{00000000-0010-0000-0000-000011000000}" name="Komment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BudgetTabelle" displayName="BudgetTabelle" ref="A6:AR25">
  <tableColumns count="44">
    <tableColumn id="1" xr3:uid="{00000000-0010-0000-0100-000001000000}" name="ID"/>
    <tableColumn id="2" xr3:uid="{00000000-0010-0000-0100-000002000000}" name="Aktiv"/>
    <tableColumn id="3" xr3:uid="{00000000-0010-0000-0100-000003000000}" name="Art"/>
    <tableColumn id="4" xr3:uid="{00000000-0010-0000-0100-000004000000}" name="Bereich"/>
    <tableColumn id="5" xr3:uid="{00000000-0010-0000-0100-000005000000}" name="Kostenstelle"/>
    <tableColumn id="6" xr3:uid="{00000000-0010-0000-0100-000006000000}" name="Kategorie"/>
    <tableColumn id="7" xr3:uid="{00000000-0010-0000-0100-000007000000}" name="Budgetposition"/>
    <tableColumn id="8" xr3:uid="{00000000-0010-0000-0100-000008000000}" name="Verantwortlich"/>
    <tableColumn id="9" xr3:uid="{00000000-0010-0000-0100-000009000000}" name="Planungslogik"/>
    <tableColumn id="10" xr3:uid="{00000000-0010-0000-0100-00000A000000}" name="Startmonat"/>
    <tableColumn id="11" xr3:uid="{00000000-0010-0000-0100-00000B000000}" name="Endmonat"/>
    <tableColumn id="12" xr3:uid="{00000000-0010-0000-0100-00000C000000}" name="Menge"/>
    <tableColumn id="13" xr3:uid="{00000000-0010-0000-0100-00000D000000}" name="Einzelbetrag"/>
    <tableColumn id="14" xr3:uid="{00000000-0010-0000-0100-00000E000000}" name="Jan Plan"/>
    <tableColumn id="15" xr3:uid="{00000000-0010-0000-0100-00000F000000}" name="Jan Ist"/>
    <tableColumn id="16" xr3:uid="{00000000-0010-0000-0100-000010000000}" name="Feb Plan"/>
    <tableColumn id="17" xr3:uid="{00000000-0010-0000-0100-000011000000}" name="Feb Ist"/>
    <tableColumn id="18" xr3:uid="{00000000-0010-0000-0100-000012000000}" name="Mär Plan"/>
    <tableColumn id="19" xr3:uid="{00000000-0010-0000-0100-000013000000}" name="Mär Ist"/>
    <tableColumn id="20" xr3:uid="{00000000-0010-0000-0100-000014000000}" name="Apr Plan"/>
    <tableColumn id="21" xr3:uid="{00000000-0010-0000-0100-000015000000}" name="Apr Ist"/>
    <tableColumn id="22" xr3:uid="{00000000-0010-0000-0100-000016000000}" name="Mai Plan"/>
    <tableColumn id="23" xr3:uid="{00000000-0010-0000-0100-000017000000}" name="Mai Ist"/>
    <tableColumn id="24" xr3:uid="{00000000-0010-0000-0100-000018000000}" name="Jun Plan"/>
    <tableColumn id="25" xr3:uid="{00000000-0010-0000-0100-000019000000}" name="Jun Ist"/>
    <tableColumn id="26" xr3:uid="{00000000-0010-0000-0100-00001A000000}" name="Jul Plan"/>
    <tableColumn id="27" xr3:uid="{00000000-0010-0000-0100-00001B000000}" name="Jul Ist"/>
    <tableColumn id="28" xr3:uid="{00000000-0010-0000-0100-00001C000000}" name="Aug Plan"/>
    <tableColumn id="29" xr3:uid="{00000000-0010-0000-0100-00001D000000}" name="Aug Ist"/>
    <tableColumn id="30" xr3:uid="{00000000-0010-0000-0100-00001E000000}" name="Sep Plan"/>
    <tableColumn id="31" xr3:uid="{00000000-0010-0000-0100-00001F000000}" name="Sep Ist"/>
    <tableColumn id="32" xr3:uid="{00000000-0010-0000-0100-000020000000}" name="Okt Plan"/>
    <tableColumn id="33" xr3:uid="{00000000-0010-0000-0100-000021000000}" name="Okt Ist"/>
    <tableColumn id="34" xr3:uid="{00000000-0010-0000-0100-000022000000}" name="Nov Plan"/>
    <tableColumn id="35" xr3:uid="{00000000-0010-0000-0100-000023000000}" name="Nov Ist"/>
    <tableColumn id="36" xr3:uid="{00000000-0010-0000-0100-000024000000}" name="Dez Plan"/>
    <tableColumn id="37" xr3:uid="{00000000-0010-0000-0100-000025000000}" name="Dez Ist"/>
    <tableColumn id="38" xr3:uid="{00000000-0010-0000-0100-000026000000}" name="Jahresplan"/>
    <tableColumn id="39" xr3:uid="{00000000-0010-0000-0100-000027000000}" name="Jahres-Ist"/>
    <tableColumn id="40" xr3:uid="{00000000-0010-0000-0100-000028000000}" name="Abweichung €"/>
    <tableColumn id="41" xr3:uid="{00000000-0010-0000-0100-000029000000}" name="Abweichung %"/>
    <tableColumn id="42" xr3:uid="{00000000-0010-0000-0100-00002A000000}" name="Status"/>
    <tableColumn id="43" xr3:uid="{00000000-0010-0000-0100-00002B000000}" name="Abs. Abweichung"/>
    <tableColumn id="44" xr3:uid="{00000000-0010-0000-0100-00002C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G13" sqref="G13"/>
    </sheetView>
  </sheetViews>
  <sheetFormatPr baseColWidth="10" defaultColWidth="9" defaultRowHeight="15" x14ac:dyDescent="0.25"/>
  <cols>
    <col min="1" max="1" width="18" customWidth="1"/>
    <col min="2" max="2" width="14" customWidth="1"/>
    <col min="3" max="3" width="12" customWidth="1"/>
    <col min="4" max="4" width="14" customWidth="1"/>
    <col min="5" max="5" width="18" customWidth="1"/>
    <col min="6" max="6" width="13" customWidth="1"/>
    <col min="7" max="7" width="12" customWidth="1"/>
    <col min="8" max="8" width="10" customWidth="1"/>
    <col min="9" max="9" width="28" customWidth="1"/>
    <col min="10" max="10" width="16" customWidth="1"/>
    <col min="11" max="11" width="14" customWidth="1"/>
    <col min="12" max="12" width="16" customWidth="1"/>
  </cols>
  <sheetData>
    <row r="1" spans="1:12" ht="32.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x14ac:dyDescent="0.25">
      <c r="A3" s="13" t="s">
        <v>1</v>
      </c>
      <c r="B3" s="13" t="s">
        <v>2</v>
      </c>
      <c r="C3" s="13"/>
      <c r="D3" s="13" t="s">
        <v>3</v>
      </c>
      <c r="E3" s="13" t="s">
        <v>4</v>
      </c>
    </row>
    <row r="4" spans="1:12" ht="30" x14ac:dyDescent="0.25">
      <c r="A4" s="24" t="str">
        <f>Stammdaten!$B$3</f>
        <v>Nordlicht Werkstatt GmbH</v>
      </c>
      <c r="B4" s="24" t="str">
        <f>Stammdaten!$B$9</f>
        <v>Basis</v>
      </c>
      <c r="C4" s="24"/>
      <c r="D4" s="24">
        <f>Stammdaten!$B$4</f>
        <v>2026</v>
      </c>
      <c r="E4" s="25">
        <f>Stammdaten!$B$6</f>
        <v>25000</v>
      </c>
    </row>
    <row r="6" spans="1:12" x14ac:dyDescent="0.25">
      <c r="A6" s="27" t="s">
        <v>5</v>
      </c>
      <c r="B6" s="26"/>
      <c r="C6" s="27" t="s">
        <v>6</v>
      </c>
      <c r="D6" s="26"/>
      <c r="E6" s="27" t="s">
        <v>7</v>
      </c>
      <c r="F6" s="26"/>
      <c r="G6" s="27" t="s">
        <v>8</v>
      </c>
      <c r="H6" s="26"/>
      <c r="I6" s="27" t="s">
        <v>9</v>
      </c>
      <c r="J6" s="26"/>
      <c r="K6" s="27" t="s">
        <v>10</v>
      </c>
      <c r="L6" s="26"/>
    </row>
    <row r="7" spans="1:12" x14ac:dyDescent="0.25">
      <c r="A7" s="28">
        <f>SUM(Monatsübersicht!C5:C16)</f>
        <v>1690850</v>
      </c>
      <c r="B7" s="26"/>
      <c r="C7" s="28">
        <f>SUM(Monatsübersicht!E5:E16)</f>
        <v>1225600</v>
      </c>
      <c r="D7" s="26"/>
      <c r="E7" s="28">
        <f>SUM(Monatsübersicht!G5:G16)</f>
        <v>465250</v>
      </c>
      <c r="F7" s="26"/>
      <c r="G7" s="28">
        <f>Monatsübersicht!N16</f>
        <v>550250</v>
      </c>
      <c r="H7" s="26"/>
      <c r="I7" s="29">
        <f>IFERROR(SUM(Monatsübersicht!E5:E16)/SUM(Monatsübersicht!D5:D16),0)</f>
        <v>1.0460908159781495</v>
      </c>
      <c r="J7" s="26"/>
      <c r="K7" s="30">
        <f>COUNTIF(Budgetplanung!AP7:AP60,"Kritisch")</f>
        <v>1</v>
      </c>
      <c r="L7" s="26"/>
    </row>
    <row r="8" spans="1:12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11" spans="1:12" x14ac:dyDescent="0.25">
      <c r="A11" s="11" t="s">
        <v>11</v>
      </c>
      <c r="B11" s="11" t="s">
        <v>12</v>
      </c>
      <c r="C11" s="11" t="s">
        <v>5</v>
      </c>
      <c r="D11" s="11" t="s">
        <v>13</v>
      </c>
      <c r="E11" s="11" t="s">
        <v>6</v>
      </c>
      <c r="F11" s="11" t="s">
        <v>14</v>
      </c>
      <c r="H11" s="31" t="s">
        <v>15</v>
      </c>
      <c r="I11" s="26"/>
      <c r="J11" s="26"/>
      <c r="K11" s="26"/>
      <c r="L11" s="26"/>
    </row>
    <row r="12" spans="1:12" x14ac:dyDescent="0.25">
      <c r="A12" s="9" t="s">
        <v>16</v>
      </c>
      <c r="B12" s="22">
        <f>Monatsübersicht!B5</f>
        <v>122200</v>
      </c>
      <c r="C12" s="22">
        <f>Monatsübersicht!C5</f>
        <v>128900</v>
      </c>
      <c r="D12" s="22">
        <f>Monatsübersicht!D5</f>
        <v>90200</v>
      </c>
      <c r="E12" s="22">
        <f>Monatsübersicht!E5</f>
        <v>91900</v>
      </c>
      <c r="F12" s="22">
        <f>Monatsübersicht!N5</f>
        <v>122000</v>
      </c>
      <c r="H12" s="23" t="s">
        <v>17</v>
      </c>
      <c r="I12" s="23" t="s">
        <v>18</v>
      </c>
      <c r="J12" s="23" t="s">
        <v>19</v>
      </c>
      <c r="K12" s="23" t="s">
        <v>20</v>
      </c>
      <c r="L12" s="23" t="s">
        <v>21</v>
      </c>
    </row>
    <row r="13" spans="1:12" x14ac:dyDescent="0.25">
      <c r="A13" s="9" t="s">
        <v>22</v>
      </c>
      <c r="B13" s="22">
        <f>Monatsübersicht!B6</f>
        <v>134700</v>
      </c>
      <c r="C13" s="22">
        <f>Monatsübersicht!C6</f>
        <v>131750</v>
      </c>
      <c r="D13" s="22">
        <f>Monatsübersicht!D6</f>
        <v>101800</v>
      </c>
      <c r="E13" s="22">
        <f>Monatsübersicht!E6</f>
        <v>109500</v>
      </c>
      <c r="F13" s="22">
        <f>Monatsübersicht!N6</f>
        <v>144250</v>
      </c>
      <c r="H13" s="9">
        <v>1</v>
      </c>
      <c r="I13" s="9" t="str">
        <f>IFERROR(INDEX(Budgetplanung!$G$7:$G$60,MATCH(LARGE(Budgetplanung!$AQ$7:$AQ$60,H13),Budgetplanung!$AQ$7:$AQ$60,0)),"")</f>
        <v>Messeauftritte &amp; Sponsoring</v>
      </c>
      <c r="J13" s="9" t="str">
        <f>IFERROR(INDEX(Budgetplanung!$D$7:$D$60,MATCH(LARGE(Budgetplanung!$AQ$7:$AQ$60,H13),Budgetplanung!$AQ$7:$AQ$60,0)),"")</f>
        <v>Marketing</v>
      </c>
      <c r="K13" s="22">
        <f>IFERROR(INDEX(Budgetplanung!$AN$7:$AN$60,MATCH(LARGE(Budgetplanung!$AQ$7:$AQ$60,H13),Budgetplanung!$AQ$7:$AQ$60,0)),"")</f>
        <v>-20000</v>
      </c>
      <c r="L13" s="9" t="str">
        <f>IFERROR(INDEX(Budgetplanung!$AP$7:$AP$60,MATCH(LARGE(Budgetplanung!$AQ$7:$AQ$60,H13),Budgetplanung!$AQ$7:$AQ$60,0)),"")</f>
        <v>Kritisch</v>
      </c>
    </row>
    <row r="14" spans="1:12" x14ac:dyDescent="0.25">
      <c r="A14" s="9" t="s">
        <v>23</v>
      </c>
      <c r="B14" s="22">
        <f>Monatsübersicht!B7</f>
        <v>152200</v>
      </c>
      <c r="C14" s="22">
        <f>Monatsübersicht!C7</f>
        <v>158500</v>
      </c>
      <c r="D14" s="22">
        <f>Monatsübersicht!D7</f>
        <v>99800</v>
      </c>
      <c r="E14" s="22">
        <f>Monatsübersicht!E7</f>
        <v>99600</v>
      </c>
      <c r="F14" s="22">
        <f>Monatsübersicht!N7</f>
        <v>203150</v>
      </c>
      <c r="H14" s="9">
        <v>2</v>
      </c>
      <c r="I14" s="9" t="str">
        <f>IFERROR(INDEX(Budgetplanung!$G$7:$G$60,MATCH(LARGE(Budgetplanung!$AQ$7:$AQ$60,H14),Budgetplanung!$AQ$7:$AQ$60,0)),"")</f>
        <v>Gehälter Festangestellte</v>
      </c>
      <c r="J14" s="9" t="str">
        <f>IFERROR(INDEX(Budgetplanung!$D$7:$D$60,MATCH(LARGE(Budgetplanung!$AQ$7:$AQ$60,H14),Budgetplanung!$AQ$7:$AQ$60,0)),"")</f>
        <v>HR</v>
      </c>
      <c r="K14" s="22">
        <f>IFERROR(INDEX(Budgetplanung!$AN$7:$AN$60,MATCH(LARGE(Budgetplanung!$AQ$7:$AQ$60,H14),Budgetplanung!$AQ$7:$AQ$60,0)),"")</f>
        <v>-16950</v>
      </c>
      <c r="L14" s="9" t="str">
        <f>IFERROR(INDEX(Budgetplanung!$AP$7:$AP$60,MATCH(LARGE(Budgetplanung!$AQ$7:$AQ$60,H14),Budgetplanung!$AQ$7:$AQ$60,0)),"")</f>
        <v>Im Soll</v>
      </c>
    </row>
    <row r="15" spans="1:12" x14ac:dyDescent="0.25">
      <c r="A15" s="9" t="s">
        <v>24</v>
      </c>
      <c r="B15" s="22">
        <f>Monatsübersicht!B8</f>
        <v>134700</v>
      </c>
      <c r="C15" s="22">
        <f>Monatsübersicht!C8</f>
        <v>129000</v>
      </c>
      <c r="D15" s="22">
        <f>Monatsübersicht!D8</f>
        <v>90200</v>
      </c>
      <c r="E15" s="22">
        <f>Monatsübersicht!E8</f>
        <v>89200</v>
      </c>
      <c r="F15" s="22">
        <f>Monatsübersicht!N8</f>
        <v>242950</v>
      </c>
      <c r="H15" s="9">
        <v>3</v>
      </c>
      <c r="I15" s="9" t="str">
        <f>IFERROR(INDEX(Budgetplanung!$G$7:$G$60,MATCH(LARGE(Budgetplanung!$AQ$7:$AQ$60,H15),Budgetplanung!$AQ$7:$AQ$60,0)),"")</f>
        <v>Implementierungsprojekte KMU</v>
      </c>
      <c r="J15" s="9" t="str">
        <f>IFERROR(INDEX(Budgetplanung!$D$7:$D$60,MATCH(LARGE(Budgetplanung!$AQ$7:$AQ$60,H15),Budgetplanung!$AQ$7:$AQ$60,0)),"")</f>
        <v>Vertrieb</v>
      </c>
      <c r="K15" s="22">
        <f>IFERROR(INDEX(Budgetplanung!$AN$7:$AN$60,MATCH(LARGE(Budgetplanung!$AQ$7:$AQ$60,H15),Budgetplanung!$AQ$7:$AQ$60,0)),"")</f>
        <v>15750</v>
      </c>
      <c r="L15" s="9" t="str">
        <f>IFERROR(INDEX(Budgetplanung!$AP$7:$AP$60,MATCH(LARGE(Budgetplanung!$AQ$7:$AQ$60,H15),Budgetplanung!$AQ$7:$AQ$60,0)),"")</f>
        <v>Besser/Im Soll</v>
      </c>
    </row>
    <row r="16" spans="1:12" x14ac:dyDescent="0.25">
      <c r="A16" s="9" t="s">
        <v>25</v>
      </c>
      <c r="B16" s="22">
        <f>Monatsübersicht!B9</f>
        <v>134700</v>
      </c>
      <c r="C16" s="22">
        <f>Monatsübersicht!C9</f>
        <v>136900</v>
      </c>
      <c r="D16" s="22">
        <f>Monatsübersicht!D9</f>
        <v>119800</v>
      </c>
      <c r="E16" s="22">
        <f>Monatsübersicht!E9</f>
        <v>128800</v>
      </c>
      <c r="F16" s="22">
        <f>Monatsübersicht!N9</f>
        <v>251050</v>
      </c>
      <c r="H16" s="9">
        <v>4</v>
      </c>
      <c r="I16" s="9" t="str">
        <f>IFERROR(INDEX(Budgetplanung!$G$7:$G$60,MATCH(LARGE(Budgetplanung!$AQ$7:$AQ$60,H16),Budgetplanung!$AQ$7:$AQ$60,0)),"")</f>
        <v>B2B-Wartungsverträge</v>
      </c>
      <c r="J16" s="9" t="str">
        <f>IFERROR(INDEX(Budgetplanung!$D$7:$D$60,MATCH(LARGE(Budgetplanung!$AQ$7:$AQ$60,H16),Budgetplanung!$AQ$7:$AQ$60,0)),"")</f>
        <v>Vertrieb</v>
      </c>
      <c r="K16" s="22">
        <f>IFERROR(INDEX(Budgetplanung!$AN$7:$AN$60,MATCH(LARGE(Budgetplanung!$AQ$7:$AQ$60,H16),Budgetplanung!$AQ$7:$AQ$60,0)),"")</f>
        <v>4450</v>
      </c>
      <c r="L16" s="9" t="str">
        <f>IFERROR(INDEX(Budgetplanung!$AP$7:$AP$60,MATCH(LARGE(Budgetplanung!$AQ$7:$AQ$60,H16),Budgetplanung!$AQ$7:$AQ$60,0)),"")</f>
        <v>Besser/Im Soll</v>
      </c>
    </row>
    <row r="17" spans="1:12" x14ac:dyDescent="0.25">
      <c r="A17" s="9" t="s">
        <v>26</v>
      </c>
      <c r="B17" s="22">
        <f>Monatsübersicht!B10</f>
        <v>152200</v>
      </c>
      <c r="C17" s="22">
        <f>Monatsübersicht!C10</f>
        <v>155700</v>
      </c>
      <c r="D17" s="22">
        <f>Monatsübersicht!D10</f>
        <v>99800</v>
      </c>
      <c r="E17" s="22">
        <f>Monatsübersicht!E10</f>
        <v>101400</v>
      </c>
      <c r="F17" s="22">
        <f>Monatsübersicht!N10</f>
        <v>305350</v>
      </c>
      <c r="H17" s="9">
        <v>5</v>
      </c>
      <c r="I17" s="9" t="str">
        <f>IFERROR(INDEX(Budgetplanung!$G$7:$G$60,MATCH(LARGE(Budgetplanung!$AQ$7:$AQ$60,H17),Budgetplanung!$AQ$7:$AQ$60,0)),"")</f>
        <v>Performance-Marketing</v>
      </c>
      <c r="J17" s="9" t="str">
        <f>IFERROR(INDEX(Budgetplanung!$D$7:$D$60,MATCH(LARGE(Budgetplanung!$AQ$7:$AQ$60,H17),Budgetplanung!$AQ$7:$AQ$60,0)),"")</f>
        <v>Marketing</v>
      </c>
      <c r="K17" s="22">
        <f>IFERROR(INDEX(Budgetplanung!$AN$7:$AN$60,MATCH(LARGE(Budgetplanung!$AQ$7:$AQ$60,H17),Budgetplanung!$AQ$7:$AQ$60,0)),"")</f>
        <v>-3550</v>
      </c>
      <c r="L17" s="9" t="str">
        <f>IFERROR(INDEX(Budgetplanung!$AP$7:$AP$60,MATCH(LARGE(Budgetplanung!$AQ$7:$AQ$60,H17),Budgetplanung!$AQ$7:$AQ$60,0)),"")</f>
        <v>Im Soll</v>
      </c>
    </row>
    <row r="18" spans="1:12" x14ac:dyDescent="0.25">
      <c r="A18" s="9" t="s">
        <v>27</v>
      </c>
      <c r="B18" s="22">
        <f>Monatsübersicht!B11</f>
        <v>134700</v>
      </c>
      <c r="C18" s="22">
        <f>Monatsübersicht!C11</f>
        <v>124700</v>
      </c>
      <c r="D18" s="22">
        <f>Monatsübersicht!D11</f>
        <v>90200</v>
      </c>
      <c r="E18" s="22">
        <f>Monatsübersicht!E11</f>
        <v>93800</v>
      </c>
      <c r="F18" s="22">
        <f>Monatsübersicht!N11</f>
        <v>336250</v>
      </c>
    </row>
    <row r="19" spans="1:12" x14ac:dyDescent="0.25">
      <c r="A19" s="9" t="s">
        <v>28</v>
      </c>
      <c r="B19" s="22">
        <f>Monatsübersicht!B12</f>
        <v>134700</v>
      </c>
      <c r="C19" s="22">
        <f>Monatsübersicht!C12</f>
        <v>136100</v>
      </c>
      <c r="D19" s="22">
        <f>Monatsübersicht!D12</f>
        <v>101800</v>
      </c>
      <c r="E19" s="22">
        <f>Monatsübersicht!E12</f>
        <v>111000</v>
      </c>
      <c r="F19" s="22">
        <f>Monatsübersicht!N12</f>
        <v>361350</v>
      </c>
    </row>
    <row r="20" spans="1:12" x14ac:dyDescent="0.25">
      <c r="A20" s="9" t="s">
        <v>29</v>
      </c>
      <c r="B20" s="22">
        <f>Monatsübersicht!B13</f>
        <v>152200</v>
      </c>
      <c r="C20" s="22">
        <f>Monatsübersicht!C13</f>
        <v>154900</v>
      </c>
      <c r="D20" s="22">
        <f>Monatsübersicht!D13</f>
        <v>99800</v>
      </c>
      <c r="E20" s="22">
        <f>Monatsübersicht!E13</f>
        <v>106400</v>
      </c>
      <c r="F20" s="22">
        <f>Monatsübersicht!N13</f>
        <v>409850</v>
      </c>
      <c r="H20" s="32" t="s">
        <v>30</v>
      </c>
      <c r="I20" s="26"/>
      <c r="J20" s="26"/>
      <c r="K20" s="26"/>
      <c r="L20" s="26"/>
    </row>
    <row r="21" spans="1:12" x14ac:dyDescent="0.25">
      <c r="A21" s="9" t="s">
        <v>31</v>
      </c>
      <c r="B21" s="22">
        <f>Monatsübersicht!B14</f>
        <v>134700</v>
      </c>
      <c r="C21" s="22">
        <f>Monatsübersicht!C14</f>
        <v>138950</v>
      </c>
      <c r="D21" s="22">
        <f>Monatsübersicht!D14</f>
        <v>90200</v>
      </c>
      <c r="E21" s="22">
        <f>Monatsübersicht!E14</f>
        <v>95600</v>
      </c>
      <c r="F21" s="22">
        <f>Monatsübersicht!N14</f>
        <v>453200</v>
      </c>
      <c r="H21" s="33" t="s">
        <v>32</v>
      </c>
      <c r="I21" s="33"/>
      <c r="J21" s="33"/>
      <c r="K21" s="33"/>
      <c r="L21" s="33"/>
    </row>
    <row r="22" spans="1:12" x14ac:dyDescent="0.25">
      <c r="A22" s="9" t="s">
        <v>33</v>
      </c>
      <c r="B22" s="22">
        <f>Monatsübersicht!B15</f>
        <v>134700</v>
      </c>
      <c r="C22" s="22">
        <f>Monatsübersicht!C15</f>
        <v>145000</v>
      </c>
      <c r="D22" s="22">
        <f>Monatsübersicht!D15</f>
        <v>95000</v>
      </c>
      <c r="E22" s="22">
        <f>Monatsübersicht!E15</f>
        <v>104550</v>
      </c>
      <c r="F22" s="22">
        <f>Monatsübersicht!N15</f>
        <v>493650</v>
      </c>
      <c r="H22" s="33" t="s">
        <v>34</v>
      </c>
      <c r="I22" s="33"/>
      <c r="J22" s="33"/>
      <c r="K22" s="33"/>
      <c r="L22" s="33"/>
    </row>
    <row r="23" spans="1:12" x14ac:dyDescent="0.25">
      <c r="A23" s="9" t="s">
        <v>35</v>
      </c>
      <c r="B23" s="22">
        <f>Monatsübersicht!B16</f>
        <v>152200</v>
      </c>
      <c r="C23" s="22">
        <f>Monatsübersicht!C16</f>
        <v>150450</v>
      </c>
      <c r="D23" s="22">
        <f>Monatsübersicht!D16</f>
        <v>93000</v>
      </c>
      <c r="E23" s="22">
        <f>Monatsübersicht!E16</f>
        <v>93850</v>
      </c>
      <c r="F23" s="22">
        <f>Monatsübersicht!N16</f>
        <v>550250</v>
      </c>
      <c r="H23" s="33" t="s">
        <v>36</v>
      </c>
      <c r="I23" s="33"/>
      <c r="J23" s="33"/>
      <c r="K23" s="33"/>
      <c r="L23" s="33"/>
    </row>
    <row r="24" spans="1:12" x14ac:dyDescent="0.25">
      <c r="H24" s="33" t="s">
        <v>37</v>
      </c>
      <c r="I24" s="33"/>
      <c r="J24" s="33"/>
      <c r="K24" s="33"/>
      <c r="L24" s="33"/>
    </row>
  </sheetData>
  <mergeCells count="19">
    <mergeCell ref="H24:L24"/>
    <mergeCell ref="H11:L11"/>
    <mergeCell ref="H20:L20"/>
    <mergeCell ref="H21:L21"/>
    <mergeCell ref="H22:L22"/>
    <mergeCell ref="H23:L23"/>
    <mergeCell ref="A1:L1"/>
    <mergeCell ref="A6:B6"/>
    <mergeCell ref="A7:B8"/>
    <mergeCell ref="C6:D6"/>
    <mergeCell ref="C7:D8"/>
    <mergeCell ref="E6:F6"/>
    <mergeCell ref="E7:F8"/>
    <mergeCell ref="G6:H6"/>
    <mergeCell ref="G7:H8"/>
    <mergeCell ref="I6:J6"/>
    <mergeCell ref="I7:J8"/>
    <mergeCell ref="K6:L6"/>
    <mergeCell ref="K7:L8"/>
  </mergeCells>
  <conditionalFormatting sqref="L13:L17">
    <cfRule type="expression" dxfId="8" priority="1">
      <formula>L13="Kritisch"</formula>
    </cfRule>
    <cfRule type="expression" dxfId="7" priority="2">
      <formula>L13="Prüfen"</formula>
    </cfRule>
    <cfRule type="expression" dxfId="6" priority="3">
      <formula>OR(L13="Im Soll",L13="Besser/Im Soll")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/>
  </sheetViews>
  <sheetFormatPr baseColWidth="10" defaultColWidth="9" defaultRowHeight="15" x14ac:dyDescent="0.25"/>
  <cols>
    <col min="1" max="1" width="14" customWidth="1"/>
    <col min="2" max="3" width="13" customWidth="1"/>
    <col min="4" max="8" width="14" customWidth="1"/>
    <col min="9" max="10" width="13" customWidth="1"/>
    <col min="11" max="11" width="14" customWidth="1"/>
    <col min="12" max="13" width="13" customWidth="1"/>
    <col min="14" max="14" width="14" customWidth="1"/>
    <col min="15" max="15" width="15" customWidth="1"/>
    <col min="16" max="16" width="16" customWidth="1"/>
    <col min="17" max="17" width="28" customWidth="1"/>
  </cols>
  <sheetData>
    <row r="1" spans="1:17" ht="27.95" customHeight="1" x14ac:dyDescent="0.35">
      <c r="A1" s="34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4" spans="1:17" ht="30" x14ac:dyDescent="0.25">
      <c r="A4" s="12" t="s">
        <v>11</v>
      </c>
      <c r="B4" s="12" t="s">
        <v>12</v>
      </c>
      <c r="C4" s="12" t="s">
        <v>5</v>
      </c>
      <c r="D4" s="12" t="s">
        <v>13</v>
      </c>
      <c r="E4" s="12" t="s">
        <v>6</v>
      </c>
      <c r="F4" s="12" t="s">
        <v>39</v>
      </c>
      <c r="G4" s="12" t="s">
        <v>7</v>
      </c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2" t="s">
        <v>14</v>
      </c>
      <c r="O4" s="12" t="s">
        <v>9</v>
      </c>
      <c r="P4" s="12" t="s">
        <v>46</v>
      </c>
      <c r="Q4" s="12" t="s">
        <v>47</v>
      </c>
    </row>
    <row r="5" spans="1:17" x14ac:dyDescent="0.25">
      <c r="A5" t="s">
        <v>48</v>
      </c>
      <c r="B5" s="20">
        <f>SUMIFS(Budgetplanung!$N$7:$N$60,Budgetplanung!$C$7:$C$60,"Einnahme")</f>
        <v>122200</v>
      </c>
      <c r="C5" s="20">
        <f>SUMIFS(Budgetplanung!$O$7:$O$60,Budgetplanung!$C$7:$C$60,"Einnahme")</f>
        <v>128900</v>
      </c>
      <c r="D5" s="20">
        <f>SUMIFS(Budgetplanung!$N$7:$N$60,Budgetplanung!$C$7:$C$60,"Ausgabe")</f>
        <v>90200</v>
      </c>
      <c r="E5" s="20">
        <f>SUMIFS(Budgetplanung!$O$7:$O$60,Budgetplanung!$C$7:$C$60,"Ausgabe")</f>
        <v>91900</v>
      </c>
      <c r="F5" s="20">
        <f t="shared" ref="F5:F16" si="0">B5-D5</f>
        <v>32000</v>
      </c>
      <c r="G5" s="20">
        <f t="shared" ref="G5:G16" si="1">C5-E5</f>
        <v>37000</v>
      </c>
      <c r="H5" s="20">
        <f t="shared" ref="H5:H16" si="2">G5-F5</f>
        <v>5000</v>
      </c>
      <c r="I5" s="20">
        <f>Stammdaten!$B$5</f>
        <v>85000</v>
      </c>
      <c r="J5" s="20">
        <f t="shared" ref="J5:J16" si="3">F5</f>
        <v>32000</v>
      </c>
      <c r="K5" s="20">
        <f t="shared" ref="K5:K16" si="4">I5+J5</f>
        <v>117000</v>
      </c>
      <c r="L5" s="20">
        <f>Stammdaten!$B$5</f>
        <v>85000</v>
      </c>
      <c r="M5" s="20">
        <f t="shared" ref="M5:M16" si="5">G5</f>
        <v>37000</v>
      </c>
      <c r="N5" s="20">
        <f t="shared" ref="N5:N16" si="6">L5+M5</f>
        <v>122000</v>
      </c>
      <c r="O5" s="21">
        <f t="shared" ref="O5:O16" si="7">IFERROR(E5/D5,0)</f>
        <v>1.0188470066518847</v>
      </c>
      <c r="P5" t="str">
        <f>IF(N5&lt;Stammdaten!$B$6,"Kritisch",IF(N5&lt;Stammdaten!$B$6*1.2,"Beobachten","OK"))</f>
        <v>OK</v>
      </c>
      <c r="Q5" t="str">
        <f t="shared" ref="Q5:Q16" si="8">IF(P5="Kritisch","Liquidität unter Mindestwert",IF(O5&gt;1.1,"Kosten über Plan",""))</f>
        <v/>
      </c>
    </row>
    <row r="6" spans="1:17" x14ac:dyDescent="0.25">
      <c r="A6" t="s">
        <v>49</v>
      </c>
      <c r="B6" s="20">
        <f>SUMIFS(Budgetplanung!$P$7:$P$60,Budgetplanung!$C$7:$C$60,"Einnahme")</f>
        <v>134700</v>
      </c>
      <c r="C6" s="20">
        <f>SUMIFS(Budgetplanung!$Q$7:$Q$60,Budgetplanung!$C$7:$C$60,"Einnahme")</f>
        <v>131750</v>
      </c>
      <c r="D6" s="20">
        <f>SUMIFS(Budgetplanung!$P$7:$P$60,Budgetplanung!$C$7:$C$60,"Ausgabe")</f>
        <v>101800</v>
      </c>
      <c r="E6" s="20">
        <f>SUMIFS(Budgetplanung!$Q$7:$Q$60,Budgetplanung!$C$7:$C$60,"Ausgabe")</f>
        <v>109500</v>
      </c>
      <c r="F6" s="20">
        <f t="shared" si="0"/>
        <v>32900</v>
      </c>
      <c r="G6" s="20">
        <f t="shared" si="1"/>
        <v>22250</v>
      </c>
      <c r="H6" s="20">
        <f t="shared" si="2"/>
        <v>-10650</v>
      </c>
      <c r="I6" s="20">
        <f t="shared" ref="I6:I16" si="9">K5</f>
        <v>117000</v>
      </c>
      <c r="J6" s="20">
        <f t="shared" si="3"/>
        <v>32900</v>
      </c>
      <c r="K6" s="20">
        <f t="shared" si="4"/>
        <v>149900</v>
      </c>
      <c r="L6" s="20">
        <f t="shared" ref="L6:L16" si="10">N5</f>
        <v>122000</v>
      </c>
      <c r="M6" s="20">
        <f t="shared" si="5"/>
        <v>22250</v>
      </c>
      <c r="N6" s="20">
        <f t="shared" si="6"/>
        <v>144250</v>
      </c>
      <c r="O6" s="21">
        <f t="shared" si="7"/>
        <v>1.075638506876228</v>
      </c>
      <c r="P6" t="str">
        <f>IF(N6&lt;Stammdaten!$B$6,"Kritisch",IF(N6&lt;Stammdaten!$B$6*1.2,"Beobachten","OK"))</f>
        <v>OK</v>
      </c>
      <c r="Q6" t="str">
        <f t="shared" si="8"/>
        <v/>
      </c>
    </row>
    <row r="7" spans="1:17" x14ac:dyDescent="0.25">
      <c r="A7" t="s">
        <v>50</v>
      </c>
      <c r="B7" s="20">
        <f>SUMIFS(Budgetplanung!$R$7:$R$60,Budgetplanung!$C$7:$C$60,"Einnahme")</f>
        <v>152200</v>
      </c>
      <c r="C7" s="20">
        <f>SUMIFS(Budgetplanung!$S$7:$S$60,Budgetplanung!$C$7:$C$60,"Einnahme")</f>
        <v>158500</v>
      </c>
      <c r="D7" s="20">
        <f>SUMIFS(Budgetplanung!$R$7:$R$60,Budgetplanung!$C$7:$C$60,"Ausgabe")</f>
        <v>99800</v>
      </c>
      <c r="E7" s="20">
        <f>SUMIFS(Budgetplanung!$S$7:$S$60,Budgetplanung!$C$7:$C$60,"Ausgabe")</f>
        <v>99600</v>
      </c>
      <c r="F7" s="20">
        <f t="shared" si="0"/>
        <v>52400</v>
      </c>
      <c r="G7" s="20">
        <f t="shared" si="1"/>
        <v>58900</v>
      </c>
      <c r="H7" s="20">
        <f t="shared" si="2"/>
        <v>6500</v>
      </c>
      <c r="I7" s="20">
        <f t="shared" si="9"/>
        <v>149900</v>
      </c>
      <c r="J7" s="20">
        <f t="shared" si="3"/>
        <v>52400</v>
      </c>
      <c r="K7" s="20">
        <f t="shared" si="4"/>
        <v>202300</v>
      </c>
      <c r="L7" s="20">
        <f t="shared" si="10"/>
        <v>144250</v>
      </c>
      <c r="M7" s="20">
        <f t="shared" si="5"/>
        <v>58900</v>
      </c>
      <c r="N7" s="20">
        <f t="shared" si="6"/>
        <v>203150</v>
      </c>
      <c r="O7" s="21">
        <f t="shared" si="7"/>
        <v>0.99799599198396793</v>
      </c>
      <c r="P7" t="str">
        <f>IF(N7&lt;Stammdaten!$B$6,"Kritisch",IF(N7&lt;Stammdaten!$B$6*1.2,"Beobachten","OK"))</f>
        <v>OK</v>
      </c>
      <c r="Q7" t="str">
        <f t="shared" si="8"/>
        <v/>
      </c>
    </row>
    <row r="8" spans="1:17" x14ac:dyDescent="0.25">
      <c r="A8" t="s">
        <v>51</v>
      </c>
      <c r="B8" s="20">
        <f>SUMIFS(Budgetplanung!$T$7:$T$60,Budgetplanung!$C$7:$C$60,"Einnahme")</f>
        <v>134700</v>
      </c>
      <c r="C8" s="20">
        <f>SUMIFS(Budgetplanung!$U$7:$U$60,Budgetplanung!$C$7:$C$60,"Einnahme")</f>
        <v>129000</v>
      </c>
      <c r="D8" s="20">
        <f>SUMIFS(Budgetplanung!$T$7:$T$60,Budgetplanung!$C$7:$C$60,"Ausgabe")</f>
        <v>90200</v>
      </c>
      <c r="E8" s="20">
        <f>SUMIFS(Budgetplanung!$U$7:$U$60,Budgetplanung!$C$7:$C$60,"Ausgabe")</f>
        <v>89200</v>
      </c>
      <c r="F8" s="20">
        <f t="shared" si="0"/>
        <v>44500</v>
      </c>
      <c r="G8" s="20">
        <f t="shared" si="1"/>
        <v>39800</v>
      </c>
      <c r="H8" s="20">
        <f t="shared" si="2"/>
        <v>-4700</v>
      </c>
      <c r="I8" s="20">
        <f t="shared" si="9"/>
        <v>202300</v>
      </c>
      <c r="J8" s="20">
        <f t="shared" si="3"/>
        <v>44500</v>
      </c>
      <c r="K8" s="20">
        <f t="shared" si="4"/>
        <v>246800</v>
      </c>
      <c r="L8" s="20">
        <f t="shared" si="10"/>
        <v>203150</v>
      </c>
      <c r="M8" s="20">
        <f t="shared" si="5"/>
        <v>39800</v>
      </c>
      <c r="N8" s="20">
        <f t="shared" si="6"/>
        <v>242950</v>
      </c>
      <c r="O8" s="21">
        <f t="shared" si="7"/>
        <v>0.98891352549889133</v>
      </c>
      <c r="P8" t="str">
        <f>IF(N8&lt;Stammdaten!$B$6,"Kritisch",IF(N8&lt;Stammdaten!$B$6*1.2,"Beobachten","OK"))</f>
        <v>OK</v>
      </c>
      <c r="Q8" t="str">
        <f t="shared" si="8"/>
        <v/>
      </c>
    </row>
    <row r="9" spans="1:17" x14ac:dyDescent="0.25">
      <c r="A9" t="s">
        <v>25</v>
      </c>
      <c r="B9" s="20">
        <f>SUMIFS(Budgetplanung!$V$7:$V$60,Budgetplanung!$C$7:$C$60,"Einnahme")</f>
        <v>134700</v>
      </c>
      <c r="C9" s="20">
        <f>SUMIFS(Budgetplanung!$W$7:$W$60,Budgetplanung!$C$7:$C$60,"Einnahme")</f>
        <v>136900</v>
      </c>
      <c r="D9" s="20">
        <f>SUMIFS(Budgetplanung!$V$7:$V$60,Budgetplanung!$C$7:$C$60,"Ausgabe")</f>
        <v>119800</v>
      </c>
      <c r="E9" s="20">
        <f>SUMIFS(Budgetplanung!$W$7:$W$60,Budgetplanung!$C$7:$C$60,"Ausgabe")</f>
        <v>128800</v>
      </c>
      <c r="F9" s="20">
        <f t="shared" si="0"/>
        <v>14900</v>
      </c>
      <c r="G9" s="20">
        <f t="shared" si="1"/>
        <v>8100</v>
      </c>
      <c r="H9" s="20">
        <f t="shared" si="2"/>
        <v>-6800</v>
      </c>
      <c r="I9" s="20">
        <f t="shared" si="9"/>
        <v>246800</v>
      </c>
      <c r="J9" s="20">
        <f t="shared" si="3"/>
        <v>14900</v>
      </c>
      <c r="K9" s="20">
        <f t="shared" si="4"/>
        <v>261700</v>
      </c>
      <c r="L9" s="20">
        <f t="shared" si="10"/>
        <v>242950</v>
      </c>
      <c r="M9" s="20">
        <f t="shared" si="5"/>
        <v>8100</v>
      </c>
      <c r="N9" s="20">
        <f t="shared" si="6"/>
        <v>251050</v>
      </c>
      <c r="O9" s="21">
        <f t="shared" si="7"/>
        <v>1.0751252086811351</v>
      </c>
      <c r="P9" t="str">
        <f>IF(N9&lt;Stammdaten!$B$6,"Kritisch",IF(N9&lt;Stammdaten!$B$6*1.2,"Beobachten","OK"))</f>
        <v>OK</v>
      </c>
      <c r="Q9" t="str">
        <f t="shared" si="8"/>
        <v/>
      </c>
    </row>
    <row r="10" spans="1:17" x14ac:dyDescent="0.25">
      <c r="A10" t="s">
        <v>52</v>
      </c>
      <c r="B10" s="20">
        <f>SUMIFS(Budgetplanung!$X$7:$X$60,Budgetplanung!$C$7:$C$60,"Einnahme")</f>
        <v>152200</v>
      </c>
      <c r="C10" s="20">
        <f>SUMIFS(Budgetplanung!$Y$7:$Y$60,Budgetplanung!$C$7:$C$60,"Einnahme")</f>
        <v>155700</v>
      </c>
      <c r="D10" s="20">
        <f>SUMIFS(Budgetplanung!$X$7:$X$60,Budgetplanung!$C$7:$C$60,"Ausgabe")</f>
        <v>99800</v>
      </c>
      <c r="E10" s="20">
        <f>SUMIFS(Budgetplanung!$Y$7:$Y$60,Budgetplanung!$C$7:$C$60,"Ausgabe")</f>
        <v>101400</v>
      </c>
      <c r="F10" s="20">
        <f t="shared" si="0"/>
        <v>52400</v>
      </c>
      <c r="G10" s="20">
        <f t="shared" si="1"/>
        <v>54300</v>
      </c>
      <c r="H10" s="20">
        <f t="shared" si="2"/>
        <v>1900</v>
      </c>
      <c r="I10" s="20">
        <f t="shared" si="9"/>
        <v>261700</v>
      </c>
      <c r="J10" s="20">
        <f t="shared" si="3"/>
        <v>52400</v>
      </c>
      <c r="K10" s="20">
        <f t="shared" si="4"/>
        <v>314100</v>
      </c>
      <c r="L10" s="20">
        <f t="shared" si="10"/>
        <v>251050</v>
      </c>
      <c r="M10" s="20">
        <f t="shared" si="5"/>
        <v>54300</v>
      </c>
      <c r="N10" s="20">
        <f t="shared" si="6"/>
        <v>305350</v>
      </c>
      <c r="O10" s="21">
        <f t="shared" si="7"/>
        <v>1.0160320641282565</v>
      </c>
      <c r="P10" t="str">
        <f>IF(N10&lt;Stammdaten!$B$6,"Kritisch",IF(N10&lt;Stammdaten!$B$6*1.2,"Beobachten","OK"))</f>
        <v>OK</v>
      </c>
      <c r="Q10" t="str">
        <f t="shared" si="8"/>
        <v/>
      </c>
    </row>
    <row r="11" spans="1:17" x14ac:dyDescent="0.25">
      <c r="A11" t="s">
        <v>53</v>
      </c>
      <c r="B11" s="20">
        <f>SUMIFS(Budgetplanung!$Z$7:$Z$60,Budgetplanung!$C$7:$C$60,"Einnahme")</f>
        <v>134700</v>
      </c>
      <c r="C11" s="20">
        <f>SUMIFS(Budgetplanung!$AA$7:$AA$60,Budgetplanung!$C$7:$C$60,"Einnahme")</f>
        <v>124700</v>
      </c>
      <c r="D11" s="20">
        <f>SUMIFS(Budgetplanung!$Z$7:$Z$60,Budgetplanung!$C$7:$C$60,"Ausgabe")</f>
        <v>90200</v>
      </c>
      <c r="E11" s="20">
        <f>SUMIFS(Budgetplanung!$AA$7:$AA$60,Budgetplanung!$C$7:$C$60,"Ausgabe")</f>
        <v>93800</v>
      </c>
      <c r="F11" s="20">
        <f t="shared" si="0"/>
        <v>44500</v>
      </c>
      <c r="G11" s="20">
        <f t="shared" si="1"/>
        <v>30900</v>
      </c>
      <c r="H11" s="20">
        <f t="shared" si="2"/>
        <v>-13600</v>
      </c>
      <c r="I11" s="20">
        <f t="shared" si="9"/>
        <v>314100</v>
      </c>
      <c r="J11" s="20">
        <f t="shared" si="3"/>
        <v>44500</v>
      </c>
      <c r="K11" s="20">
        <f t="shared" si="4"/>
        <v>358600</v>
      </c>
      <c r="L11" s="20">
        <f t="shared" si="10"/>
        <v>305350</v>
      </c>
      <c r="M11" s="20">
        <f t="shared" si="5"/>
        <v>30900</v>
      </c>
      <c r="N11" s="20">
        <f t="shared" si="6"/>
        <v>336250</v>
      </c>
      <c r="O11" s="21">
        <f t="shared" si="7"/>
        <v>1.039911308203991</v>
      </c>
      <c r="P11" t="str">
        <f>IF(N11&lt;Stammdaten!$B$6,"Kritisch",IF(N11&lt;Stammdaten!$B$6*1.2,"Beobachten","OK"))</f>
        <v>OK</v>
      </c>
      <c r="Q11" t="str">
        <f t="shared" si="8"/>
        <v/>
      </c>
    </row>
    <row r="12" spans="1:17" x14ac:dyDescent="0.25">
      <c r="A12" t="s">
        <v>54</v>
      </c>
      <c r="B12" s="20">
        <f>SUMIFS(Budgetplanung!$AB$7:$AB$60,Budgetplanung!$C$7:$C$60,"Einnahme")</f>
        <v>134700</v>
      </c>
      <c r="C12" s="20">
        <f>SUMIFS(Budgetplanung!$AC$7:$AC$60,Budgetplanung!$C$7:$C$60,"Einnahme")</f>
        <v>136100</v>
      </c>
      <c r="D12" s="20">
        <f>SUMIFS(Budgetplanung!$AB$7:$AB$60,Budgetplanung!$C$7:$C$60,"Ausgabe")</f>
        <v>101800</v>
      </c>
      <c r="E12" s="20">
        <f>SUMIFS(Budgetplanung!$AC$7:$AC$60,Budgetplanung!$C$7:$C$60,"Ausgabe")</f>
        <v>111000</v>
      </c>
      <c r="F12" s="20">
        <f t="shared" si="0"/>
        <v>32900</v>
      </c>
      <c r="G12" s="20">
        <f t="shared" si="1"/>
        <v>25100</v>
      </c>
      <c r="H12" s="20">
        <f t="shared" si="2"/>
        <v>-7800</v>
      </c>
      <c r="I12" s="20">
        <f t="shared" si="9"/>
        <v>358600</v>
      </c>
      <c r="J12" s="20">
        <f t="shared" si="3"/>
        <v>32900</v>
      </c>
      <c r="K12" s="20">
        <f t="shared" si="4"/>
        <v>391500</v>
      </c>
      <c r="L12" s="20">
        <f t="shared" si="10"/>
        <v>336250</v>
      </c>
      <c r="M12" s="20">
        <f t="shared" si="5"/>
        <v>25100</v>
      </c>
      <c r="N12" s="20">
        <f t="shared" si="6"/>
        <v>361350</v>
      </c>
      <c r="O12" s="21">
        <f t="shared" si="7"/>
        <v>1.0903732809430255</v>
      </c>
      <c r="P12" t="str">
        <f>IF(N12&lt;Stammdaten!$B$6,"Kritisch",IF(N12&lt;Stammdaten!$B$6*1.2,"Beobachten","OK"))</f>
        <v>OK</v>
      </c>
      <c r="Q12" t="str">
        <f t="shared" si="8"/>
        <v/>
      </c>
    </row>
    <row r="13" spans="1:17" x14ac:dyDescent="0.25">
      <c r="A13" t="s">
        <v>55</v>
      </c>
      <c r="B13" s="20">
        <f>SUMIFS(Budgetplanung!$AD$7:$AD$60,Budgetplanung!$C$7:$C$60,"Einnahme")</f>
        <v>152200</v>
      </c>
      <c r="C13" s="20">
        <f>SUMIFS(Budgetplanung!$AE$7:$AE$60,Budgetplanung!$C$7:$C$60,"Einnahme")</f>
        <v>154900</v>
      </c>
      <c r="D13" s="20">
        <f>SUMIFS(Budgetplanung!$AD$7:$AD$60,Budgetplanung!$C$7:$C$60,"Ausgabe")</f>
        <v>99800</v>
      </c>
      <c r="E13" s="20">
        <f>SUMIFS(Budgetplanung!$AE$7:$AE$60,Budgetplanung!$C$7:$C$60,"Ausgabe")</f>
        <v>106400</v>
      </c>
      <c r="F13" s="20">
        <f t="shared" si="0"/>
        <v>52400</v>
      </c>
      <c r="G13" s="20">
        <f t="shared" si="1"/>
        <v>48500</v>
      </c>
      <c r="H13" s="20">
        <f t="shared" si="2"/>
        <v>-3900</v>
      </c>
      <c r="I13" s="20">
        <f t="shared" si="9"/>
        <v>391500</v>
      </c>
      <c r="J13" s="20">
        <f t="shared" si="3"/>
        <v>52400</v>
      </c>
      <c r="K13" s="20">
        <f t="shared" si="4"/>
        <v>443900</v>
      </c>
      <c r="L13" s="20">
        <f t="shared" si="10"/>
        <v>361350</v>
      </c>
      <c r="M13" s="20">
        <f t="shared" si="5"/>
        <v>48500</v>
      </c>
      <c r="N13" s="20">
        <f t="shared" si="6"/>
        <v>409850</v>
      </c>
      <c r="O13" s="21">
        <f t="shared" si="7"/>
        <v>1.0661322645290581</v>
      </c>
      <c r="P13" t="str">
        <f>IF(N13&lt;Stammdaten!$B$6,"Kritisch",IF(N13&lt;Stammdaten!$B$6*1.2,"Beobachten","OK"))</f>
        <v>OK</v>
      </c>
      <c r="Q13" t="str">
        <f t="shared" si="8"/>
        <v/>
      </c>
    </row>
    <row r="14" spans="1:17" x14ac:dyDescent="0.25">
      <c r="A14" t="s">
        <v>56</v>
      </c>
      <c r="B14" s="20">
        <f>SUMIFS(Budgetplanung!$AF$7:$AF$60,Budgetplanung!$C$7:$C$60,"Einnahme")</f>
        <v>134700</v>
      </c>
      <c r="C14" s="20">
        <f>SUMIFS(Budgetplanung!$AG$7:$AG$60,Budgetplanung!$C$7:$C$60,"Einnahme")</f>
        <v>138950</v>
      </c>
      <c r="D14" s="20">
        <f>SUMIFS(Budgetplanung!$AF$7:$AF$60,Budgetplanung!$C$7:$C$60,"Ausgabe")</f>
        <v>90200</v>
      </c>
      <c r="E14" s="20">
        <f>SUMIFS(Budgetplanung!$AG$7:$AG$60,Budgetplanung!$C$7:$C$60,"Ausgabe")</f>
        <v>95600</v>
      </c>
      <c r="F14" s="20">
        <f t="shared" si="0"/>
        <v>44500</v>
      </c>
      <c r="G14" s="20">
        <f t="shared" si="1"/>
        <v>43350</v>
      </c>
      <c r="H14" s="20">
        <f t="shared" si="2"/>
        <v>-1150</v>
      </c>
      <c r="I14" s="20">
        <f t="shared" si="9"/>
        <v>443900</v>
      </c>
      <c r="J14" s="20">
        <f t="shared" si="3"/>
        <v>44500</v>
      </c>
      <c r="K14" s="20">
        <f t="shared" si="4"/>
        <v>488400</v>
      </c>
      <c r="L14" s="20">
        <f t="shared" si="10"/>
        <v>409850</v>
      </c>
      <c r="M14" s="20">
        <f t="shared" si="5"/>
        <v>43350</v>
      </c>
      <c r="N14" s="20">
        <f t="shared" si="6"/>
        <v>453200</v>
      </c>
      <c r="O14" s="21">
        <f t="shared" si="7"/>
        <v>1.0598669623059866</v>
      </c>
      <c r="P14" t="str">
        <f>IF(N14&lt;Stammdaten!$B$6,"Kritisch",IF(N14&lt;Stammdaten!$B$6*1.2,"Beobachten","OK"))</f>
        <v>OK</v>
      </c>
      <c r="Q14" t="str">
        <f t="shared" si="8"/>
        <v/>
      </c>
    </row>
    <row r="15" spans="1:17" x14ac:dyDescent="0.25">
      <c r="A15" t="s">
        <v>57</v>
      </c>
      <c r="B15" s="20">
        <f>SUMIFS(Budgetplanung!$AH$7:$AH$60,Budgetplanung!$C$7:$C$60,"Einnahme")</f>
        <v>134700</v>
      </c>
      <c r="C15" s="20">
        <f>SUMIFS(Budgetplanung!$AI$7:$AI$60,Budgetplanung!$C$7:$C$60,"Einnahme")</f>
        <v>145000</v>
      </c>
      <c r="D15" s="20">
        <f>SUMIFS(Budgetplanung!$AH$7:$AH$60,Budgetplanung!$C$7:$C$60,"Ausgabe")</f>
        <v>95000</v>
      </c>
      <c r="E15" s="20">
        <f>SUMIFS(Budgetplanung!$AI$7:$AI$60,Budgetplanung!$C$7:$C$60,"Ausgabe")</f>
        <v>104550</v>
      </c>
      <c r="F15" s="20">
        <f t="shared" si="0"/>
        <v>39700</v>
      </c>
      <c r="G15" s="20">
        <f t="shared" si="1"/>
        <v>40450</v>
      </c>
      <c r="H15" s="20">
        <f t="shared" si="2"/>
        <v>750</v>
      </c>
      <c r="I15" s="20">
        <f t="shared" si="9"/>
        <v>488400</v>
      </c>
      <c r="J15" s="20">
        <f t="shared" si="3"/>
        <v>39700</v>
      </c>
      <c r="K15" s="20">
        <f t="shared" si="4"/>
        <v>528100</v>
      </c>
      <c r="L15" s="20">
        <f t="shared" si="10"/>
        <v>453200</v>
      </c>
      <c r="M15" s="20">
        <f t="shared" si="5"/>
        <v>40450</v>
      </c>
      <c r="N15" s="20">
        <f t="shared" si="6"/>
        <v>493650</v>
      </c>
      <c r="O15" s="21">
        <f t="shared" si="7"/>
        <v>1.1005263157894736</v>
      </c>
      <c r="P15" t="str">
        <f>IF(N15&lt;Stammdaten!$B$6,"Kritisch",IF(N15&lt;Stammdaten!$B$6*1.2,"Beobachten","OK"))</f>
        <v>OK</v>
      </c>
      <c r="Q15" t="str">
        <f t="shared" si="8"/>
        <v>Kosten über Plan</v>
      </c>
    </row>
    <row r="16" spans="1:17" x14ac:dyDescent="0.25">
      <c r="A16" t="s">
        <v>58</v>
      </c>
      <c r="B16" s="20">
        <f>SUMIFS(Budgetplanung!$AJ$7:$AJ$60,Budgetplanung!$C$7:$C$60,"Einnahme")</f>
        <v>152200</v>
      </c>
      <c r="C16" s="20">
        <f>SUMIFS(Budgetplanung!$AK$7:$AK$60,Budgetplanung!$C$7:$C$60,"Einnahme")</f>
        <v>150450</v>
      </c>
      <c r="D16" s="20">
        <f>SUMIFS(Budgetplanung!$AJ$7:$AJ$60,Budgetplanung!$C$7:$C$60,"Ausgabe")</f>
        <v>93000</v>
      </c>
      <c r="E16" s="20">
        <f>SUMIFS(Budgetplanung!$AK$7:$AK$60,Budgetplanung!$C$7:$C$60,"Ausgabe")</f>
        <v>93850</v>
      </c>
      <c r="F16" s="20">
        <f t="shared" si="0"/>
        <v>59200</v>
      </c>
      <c r="G16" s="20">
        <f t="shared" si="1"/>
        <v>56600</v>
      </c>
      <c r="H16" s="20">
        <f t="shared" si="2"/>
        <v>-2600</v>
      </c>
      <c r="I16" s="20">
        <f t="shared" si="9"/>
        <v>528100</v>
      </c>
      <c r="J16" s="20">
        <f t="shared" si="3"/>
        <v>59200</v>
      </c>
      <c r="K16" s="20">
        <f t="shared" si="4"/>
        <v>587300</v>
      </c>
      <c r="L16" s="20">
        <f t="shared" si="10"/>
        <v>493650</v>
      </c>
      <c r="M16" s="20">
        <f t="shared" si="5"/>
        <v>56600</v>
      </c>
      <c r="N16" s="20">
        <f t="shared" si="6"/>
        <v>550250</v>
      </c>
      <c r="O16" s="21">
        <f t="shared" si="7"/>
        <v>1.0091397849462365</v>
      </c>
      <c r="P16" t="str">
        <f>IF(N16&lt;Stammdaten!$B$6,"Kritisch",IF(N16&lt;Stammdaten!$B$6*1.2,"Beobachten","OK"))</f>
        <v>OK</v>
      </c>
      <c r="Q16" t="str">
        <f t="shared" si="8"/>
        <v/>
      </c>
    </row>
  </sheetData>
  <mergeCells count="1">
    <mergeCell ref="A1:Q1"/>
  </mergeCells>
  <conditionalFormatting sqref="O5:O16">
    <cfRule type="dataBar" priority="1">
      <dataBar>
        <cfvo type="min"/>
        <cfvo type="max"/>
        <color rgb="FF60A5FA"/>
      </dataBar>
    </cfRule>
    <cfRule type="dataBar" priority="5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{6EDE6F68-3FD1-0416-6378-11C5A1D1DE33}</x14:id>
        </ext>
      </extLst>
    </cfRule>
  </conditionalFormatting>
  <conditionalFormatting sqref="P5:P16">
    <cfRule type="expression" dxfId="5" priority="2">
      <formula>P5="Kritisch"</formula>
    </cfRule>
    <cfRule type="expression" dxfId="4" priority="3">
      <formula>P5="Beobachten"</formula>
    </cfRule>
    <cfRule type="expression" dxfId="3" priority="4">
      <formula>P5="OK"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DE6F68-3FD1-0416-6378-11C5A1D1DE33}">
            <x14:dataBar>
              <x14:cfvo type="min"/>
              <x14:cfvo type="max"/>
              <x14:negativeFillColor auto="1"/>
              <x14:axisColor auto="1"/>
            </x14:dataBar>
          </x14:cfRule>
          <xm:sqref>O5:O16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0"/>
  <sheetViews>
    <sheetView workbookViewId="0"/>
  </sheetViews>
  <sheetFormatPr baseColWidth="10" defaultColWidth="9" defaultRowHeight="15" x14ac:dyDescent="0.25"/>
  <cols>
    <col min="1" max="1" width="7" customWidth="1"/>
    <col min="2" max="2" width="9" customWidth="1"/>
    <col min="3" max="3" width="11" customWidth="1"/>
    <col min="4" max="4" width="16" customWidth="1"/>
    <col min="5" max="5" width="12" customWidth="1"/>
    <col min="6" max="6" width="18" customWidth="1"/>
    <col min="7" max="7" width="28" customWidth="1"/>
    <col min="8" max="8" width="17" customWidth="1"/>
    <col min="9" max="9" width="14" customWidth="1"/>
    <col min="10" max="11" width="11" customWidth="1"/>
    <col min="12" max="12" width="9" customWidth="1"/>
    <col min="13" max="13" width="13" customWidth="1"/>
    <col min="14" max="37" width="11" customWidth="1"/>
    <col min="38" max="40" width="13" customWidth="1"/>
    <col min="41" max="41" width="12" customWidth="1"/>
    <col min="42" max="42" width="16" customWidth="1"/>
    <col min="43" max="43" width="13" customWidth="1"/>
    <col min="44" max="44" width="32" customWidth="1"/>
  </cols>
  <sheetData>
    <row r="1" spans="1:44" ht="27.95" customHeight="1" x14ac:dyDescent="0.25">
      <c r="A1" s="3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3" spans="1:44" x14ac:dyDescent="0.25">
      <c r="A3" s="36" t="s">
        <v>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6" spans="1:44" ht="30" x14ac:dyDescent="0.25">
      <c r="A6" s="13" t="s">
        <v>61</v>
      </c>
      <c r="B6" s="13" t="s">
        <v>62</v>
      </c>
      <c r="C6" s="13" t="s">
        <v>63</v>
      </c>
      <c r="D6" s="13" t="s">
        <v>19</v>
      </c>
      <c r="E6" s="13" t="s">
        <v>64</v>
      </c>
      <c r="F6" s="13" t="s">
        <v>65</v>
      </c>
      <c r="G6" s="13" t="s">
        <v>18</v>
      </c>
      <c r="H6" s="13" t="s">
        <v>66</v>
      </c>
      <c r="I6" s="13" t="s">
        <v>67</v>
      </c>
      <c r="J6" s="13" t="s">
        <v>68</v>
      </c>
      <c r="K6" s="13" t="s">
        <v>69</v>
      </c>
      <c r="L6" s="13" t="s">
        <v>70</v>
      </c>
      <c r="M6" s="13" t="s">
        <v>71</v>
      </c>
      <c r="N6" s="13" t="s">
        <v>72</v>
      </c>
      <c r="O6" s="13" t="s">
        <v>73</v>
      </c>
      <c r="P6" s="13" t="s">
        <v>74</v>
      </c>
      <c r="Q6" s="13" t="s">
        <v>75</v>
      </c>
      <c r="R6" s="13" t="s">
        <v>76</v>
      </c>
      <c r="S6" s="13" t="s">
        <v>77</v>
      </c>
      <c r="T6" s="13" t="s">
        <v>78</v>
      </c>
      <c r="U6" s="13" t="s">
        <v>79</v>
      </c>
      <c r="V6" s="13" t="s">
        <v>80</v>
      </c>
      <c r="W6" s="13" t="s">
        <v>81</v>
      </c>
      <c r="X6" s="13" t="s">
        <v>82</v>
      </c>
      <c r="Y6" s="13" t="s">
        <v>83</v>
      </c>
      <c r="Z6" s="13" t="s">
        <v>84</v>
      </c>
      <c r="AA6" s="13" t="s">
        <v>85</v>
      </c>
      <c r="AB6" s="13" t="s">
        <v>86</v>
      </c>
      <c r="AC6" s="13" t="s">
        <v>87</v>
      </c>
      <c r="AD6" s="13" t="s">
        <v>88</v>
      </c>
      <c r="AE6" s="13" t="s">
        <v>89</v>
      </c>
      <c r="AF6" s="13" t="s">
        <v>90</v>
      </c>
      <c r="AG6" s="13" t="s">
        <v>91</v>
      </c>
      <c r="AH6" s="13" t="s">
        <v>92</v>
      </c>
      <c r="AI6" s="13" t="s">
        <v>93</v>
      </c>
      <c r="AJ6" s="13" t="s">
        <v>94</v>
      </c>
      <c r="AK6" s="13" t="s">
        <v>95</v>
      </c>
      <c r="AL6" s="13" t="s">
        <v>96</v>
      </c>
      <c r="AM6" s="13" t="s">
        <v>97</v>
      </c>
      <c r="AN6" s="13" t="s">
        <v>20</v>
      </c>
      <c r="AO6" s="13" t="s">
        <v>98</v>
      </c>
      <c r="AP6" s="13" t="s">
        <v>21</v>
      </c>
      <c r="AQ6" s="13" t="s">
        <v>99</v>
      </c>
      <c r="AR6" s="13" t="s">
        <v>47</v>
      </c>
    </row>
    <row r="7" spans="1:44" x14ac:dyDescent="0.25">
      <c r="A7" s="14">
        <v>1</v>
      </c>
      <c r="B7" s="14" t="s">
        <v>100</v>
      </c>
      <c r="C7" s="14" t="s">
        <v>101</v>
      </c>
      <c r="D7" s="14" t="s">
        <v>102</v>
      </c>
      <c r="E7" s="14" t="s">
        <v>103</v>
      </c>
      <c r="F7" s="14" t="s">
        <v>104</v>
      </c>
      <c r="G7" s="14" t="s">
        <v>105</v>
      </c>
      <c r="H7" s="14" t="s">
        <v>106</v>
      </c>
      <c r="I7" s="14" t="s">
        <v>107</v>
      </c>
      <c r="J7" s="15">
        <v>1</v>
      </c>
      <c r="K7" s="15">
        <v>12</v>
      </c>
      <c r="L7" s="15">
        <v>95</v>
      </c>
      <c r="M7" s="16">
        <v>680</v>
      </c>
      <c r="N7" s="17">
        <f>IF($B7&lt;&gt;"Ja",0,IF(AND(1&gt;=$J7,1&lt;=$K7),IF($I7="Monatlich",$L7*$M7*VLOOKUP(Stammdaten!$B$9,Stammdaten!$A$13:$C$15,IF($C7="Einnahme",2,3),FALSE),IF($I7="Quartalsweise",IF(MOD(1-$J7,3)=0,$L7*$M7*VLOOKUP(Stammdaten!$B$9,Stammdaten!$A$13:$C$15,IF($C7="Einnahme",2,3),FALSE),0),IF($I7="Halbjährlich",IF(MOD(1-$J7,6)=0,$L7*$M7*VLOOKUP(Stammdaten!$B$9,Stammdaten!$A$13:$C$15,IF($C7="Einnahme",2,3),FALSE),0),IF($I7="Einmalig",IF(1=$J7,$L7*$M7*VLOOKUP(Stammdaten!$B$9,Stammdaten!$A$13:$C$15,IF($C7="Einnahme",2,3),FALSE),0),0)))),0))</f>
        <v>64600</v>
      </c>
      <c r="O7" s="16">
        <v>69300</v>
      </c>
      <c r="P7" s="17">
        <f>IF($B7&lt;&gt;"Ja",0,IF(AND(2&gt;=$J7,2&lt;=$K7),IF($I7="Monatlich",$L7*$M7*VLOOKUP(Stammdaten!$B$9,Stammdaten!$A$13:$C$15,IF($C7="Einnahme",2,3),FALSE),IF($I7="Quartalsweise",IF(MOD(2-$J7,3)=0,$L7*$M7*VLOOKUP(Stammdaten!$B$9,Stammdaten!$A$13:$C$15,IF($C7="Einnahme",2,3),FALSE),0),IF($I7="Halbjährlich",IF(MOD(2-$J7,6)=0,$L7*$M7*VLOOKUP(Stammdaten!$B$9,Stammdaten!$A$13:$C$15,IF($C7="Einnahme",2,3),FALSE),0),IF($I7="Einmalig",IF(2=$J7,$L7*$M7*VLOOKUP(Stammdaten!$B$9,Stammdaten!$A$13:$C$15,IF($C7="Einnahme",2,3),FALSE),0),0)))),0))</f>
        <v>64600</v>
      </c>
      <c r="Q7" s="16">
        <v>59650</v>
      </c>
      <c r="R7" s="17">
        <f>IF($B7&lt;&gt;"Ja",0,IF(AND(3&gt;=$J7,3&lt;=$K7),IF($I7="Monatlich",$L7*$M7*VLOOKUP(Stammdaten!$B$9,Stammdaten!$A$13:$C$15,IF($C7="Einnahme",2,3),FALSE),IF($I7="Quartalsweise",IF(MOD(3-$J7,3)=0,$L7*$M7*VLOOKUP(Stammdaten!$B$9,Stammdaten!$A$13:$C$15,IF($C7="Einnahme",2,3),FALSE),0),IF($I7="Halbjährlich",IF(MOD(3-$J7,6)=0,$L7*$M7*VLOOKUP(Stammdaten!$B$9,Stammdaten!$A$13:$C$15,IF($C7="Einnahme",2,3),FALSE),0),IF($I7="Einmalig",IF(3=$J7,$L7*$M7*VLOOKUP(Stammdaten!$B$9,Stammdaten!$A$13:$C$15,IF($C7="Einnahme",2,3),FALSE),0),0)))),0))</f>
        <v>64600</v>
      </c>
      <c r="S7" s="16">
        <v>68350</v>
      </c>
      <c r="T7" s="17">
        <f>IF($B7&lt;&gt;"Ja",0,IF(AND(4&gt;=$J7,4&lt;=$K7),IF($I7="Monatlich",$L7*$M7*VLOOKUP(Stammdaten!$B$9,Stammdaten!$A$13:$C$15,IF($C7="Einnahme",2,3),FALSE),IF($I7="Quartalsweise",IF(MOD(4-$J7,3)=0,$L7*$M7*VLOOKUP(Stammdaten!$B$9,Stammdaten!$A$13:$C$15,IF($C7="Einnahme",2,3),FALSE),0),IF($I7="Halbjährlich",IF(MOD(4-$J7,6)=0,$L7*$M7*VLOOKUP(Stammdaten!$B$9,Stammdaten!$A$13:$C$15,IF($C7="Einnahme",2,3),FALSE),0),IF($I7="Einmalig",IF(4=$J7,$L7*$M7*VLOOKUP(Stammdaten!$B$9,Stammdaten!$A$13:$C$15,IF($C7="Einnahme",2,3),FALSE),0),0)))),0))</f>
        <v>64600</v>
      </c>
      <c r="U7" s="16">
        <v>59800</v>
      </c>
      <c r="V7" s="17">
        <f>IF($B7&lt;&gt;"Ja",0,IF(AND(5&gt;=$J7,5&lt;=$K7),IF($I7="Monatlich",$L7*$M7*VLOOKUP(Stammdaten!$B$9,Stammdaten!$A$13:$C$15,IF($C7="Einnahme",2,3),FALSE),IF($I7="Quartalsweise",IF(MOD(5-$J7,3)=0,$L7*$M7*VLOOKUP(Stammdaten!$B$9,Stammdaten!$A$13:$C$15,IF($C7="Einnahme",2,3),FALSE),0),IF($I7="Halbjährlich",IF(MOD(5-$J7,6)=0,$L7*$M7*VLOOKUP(Stammdaten!$B$9,Stammdaten!$A$13:$C$15,IF($C7="Einnahme",2,3),FALSE),0),IF($I7="Einmalig",IF(5=$J7,$L7*$M7*VLOOKUP(Stammdaten!$B$9,Stammdaten!$A$13:$C$15,IF($C7="Einnahme",2,3),FALSE),0),0)))),0))</f>
        <v>64600</v>
      </c>
      <c r="W7" s="16">
        <v>61700</v>
      </c>
      <c r="X7" s="17">
        <f>IF($B7&lt;&gt;"Ja",0,IF(AND(6&gt;=$J7,6&lt;=$K7),IF($I7="Monatlich",$L7*$M7*VLOOKUP(Stammdaten!$B$9,Stammdaten!$A$13:$C$15,IF($C7="Einnahme",2,3),FALSE),IF($I7="Quartalsweise",IF(MOD(6-$J7,3)=0,$L7*$M7*VLOOKUP(Stammdaten!$B$9,Stammdaten!$A$13:$C$15,IF($C7="Einnahme",2,3),FALSE),0),IF($I7="Halbjährlich",IF(MOD(6-$J7,6)=0,$L7*$M7*VLOOKUP(Stammdaten!$B$9,Stammdaten!$A$13:$C$15,IF($C7="Einnahme",2,3),FALSE),0),IF($I7="Einmalig",IF(6=$J7,$L7*$M7*VLOOKUP(Stammdaten!$B$9,Stammdaten!$A$13:$C$15,IF($C7="Einnahme",2,3),FALSE),0),0)))),0))</f>
        <v>64600</v>
      </c>
      <c r="Y7" s="16">
        <v>65850</v>
      </c>
      <c r="Z7" s="17">
        <f>IF($B7&lt;&gt;"Ja",0,IF(AND(7&gt;=$J7,7&lt;=$K7),IF($I7="Monatlich",$L7*$M7*VLOOKUP(Stammdaten!$B$9,Stammdaten!$A$13:$C$15,IF($C7="Einnahme",2,3),FALSE),IF($I7="Quartalsweise",IF(MOD(7-$J7,3)=0,$L7*$M7*VLOOKUP(Stammdaten!$B$9,Stammdaten!$A$13:$C$15,IF($C7="Einnahme",2,3),FALSE),0),IF($I7="Halbjährlich",IF(MOD(7-$J7,6)=0,$L7*$M7*VLOOKUP(Stammdaten!$B$9,Stammdaten!$A$13:$C$15,IF($C7="Einnahme",2,3),FALSE),0),IF($I7="Einmalig",IF(7=$J7,$L7*$M7*VLOOKUP(Stammdaten!$B$9,Stammdaten!$A$13:$C$15,IF($C7="Einnahme",2,3),FALSE),0),0)))),0))</f>
        <v>64600</v>
      </c>
      <c r="AA7" s="16">
        <v>59500</v>
      </c>
      <c r="AB7" s="17">
        <f>IF($B7&lt;&gt;"Ja",0,IF(AND(8&gt;=$J7,8&lt;=$K7),IF($I7="Monatlich",$L7*$M7*VLOOKUP(Stammdaten!$B$9,Stammdaten!$A$13:$C$15,IF($C7="Einnahme",2,3),FALSE),IF($I7="Quartalsweise",IF(MOD(8-$J7,3)=0,$L7*$M7*VLOOKUP(Stammdaten!$B$9,Stammdaten!$A$13:$C$15,IF($C7="Einnahme",2,3),FALSE),0),IF($I7="Halbjährlich",IF(MOD(8-$J7,6)=0,$L7*$M7*VLOOKUP(Stammdaten!$B$9,Stammdaten!$A$13:$C$15,IF($C7="Einnahme",2,3),FALSE),0),IF($I7="Einmalig",IF(8=$J7,$L7*$M7*VLOOKUP(Stammdaten!$B$9,Stammdaten!$A$13:$C$15,IF($C7="Einnahme",2,3),FALSE),0),0)))),0))</f>
        <v>64600</v>
      </c>
      <c r="AC7" s="16">
        <v>63500</v>
      </c>
      <c r="AD7" s="17">
        <f>IF($B7&lt;&gt;"Ja",0,IF(AND(9&gt;=$J7,9&lt;=$K7),IF($I7="Monatlich",$L7*$M7*VLOOKUP(Stammdaten!$B$9,Stammdaten!$A$13:$C$15,IF($C7="Einnahme",2,3),FALSE),IF($I7="Quartalsweise",IF(MOD(9-$J7,3)=0,$L7*$M7*VLOOKUP(Stammdaten!$B$9,Stammdaten!$A$13:$C$15,IF($C7="Einnahme",2,3),FALSE),0),IF($I7="Halbjährlich",IF(MOD(9-$J7,6)=0,$L7*$M7*VLOOKUP(Stammdaten!$B$9,Stammdaten!$A$13:$C$15,IF($C7="Einnahme",2,3),FALSE),0),IF($I7="Einmalig",IF(9=$J7,$L7*$M7*VLOOKUP(Stammdaten!$B$9,Stammdaten!$A$13:$C$15,IF($C7="Einnahme",2,3),FALSE),0),0)))),0))</f>
        <v>64600</v>
      </c>
      <c r="AE7" s="16">
        <v>68300</v>
      </c>
      <c r="AF7" s="17">
        <f>IF($B7&lt;&gt;"Ja",0,IF(AND(10&gt;=$J7,10&lt;=$K7),IF($I7="Monatlich",$L7*$M7*VLOOKUP(Stammdaten!$B$9,Stammdaten!$A$13:$C$15,IF($C7="Einnahme",2,3),FALSE),IF($I7="Quartalsweise",IF(MOD(10-$J7,3)=0,$L7*$M7*VLOOKUP(Stammdaten!$B$9,Stammdaten!$A$13:$C$15,IF($C7="Einnahme",2,3),FALSE),0),IF($I7="Halbjährlich",IF(MOD(10-$J7,6)=0,$L7*$M7*VLOOKUP(Stammdaten!$B$9,Stammdaten!$A$13:$C$15,IF($C7="Einnahme",2,3),FALSE),0),IF($I7="Einmalig",IF(10=$J7,$L7*$M7*VLOOKUP(Stammdaten!$B$9,Stammdaten!$A$13:$C$15,IF($C7="Einnahme",2,3),FALSE),0),0)))),0))</f>
        <v>64600</v>
      </c>
      <c r="AG7" s="16">
        <v>68400</v>
      </c>
      <c r="AH7" s="17">
        <f>IF($B7&lt;&gt;"Ja",0,IF(AND(11&gt;=$J7,11&lt;=$K7),IF($I7="Monatlich",$L7*$M7*VLOOKUP(Stammdaten!$B$9,Stammdaten!$A$13:$C$15,IF($C7="Einnahme",2,3),FALSE),IF($I7="Quartalsweise",IF(MOD(11-$J7,3)=0,$L7*$M7*VLOOKUP(Stammdaten!$B$9,Stammdaten!$A$13:$C$15,IF($C7="Einnahme",2,3),FALSE),0),IF($I7="Halbjährlich",IF(MOD(11-$J7,6)=0,$L7*$M7*VLOOKUP(Stammdaten!$B$9,Stammdaten!$A$13:$C$15,IF($C7="Einnahme",2,3),FALSE),0),IF($I7="Einmalig",IF(11=$J7,$L7*$M7*VLOOKUP(Stammdaten!$B$9,Stammdaten!$A$13:$C$15,IF($C7="Einnahme",2,3),FALSE),0),0)))),0))</f>
        <v>64600</v>
      </c>
      <c r="AI7" s="16">
        <v>70150</v>
      </c>
      <c r="AJ7" s="17">
        <f>IF($B7&lt;&gt;"Ja",0,IF(AND(12&gt;=$J7,12&lt;=$K7),IF($I7="Monatlich",$L7*$M7*VLOOKUP(Stammdaten!$B$9,Stammdaten!$A$13:$C$15,IF($C7="Einnahme",2,3),FALSE),IF($I7="Quartalsweise",IF(MOD(12-$J7,3)=0,$L7*$M7*VLOOKUP(Stammdaten!$B$9,Stammdaten!$A$13:$C$15,IF($C7="Einnahme",2,3),FALSE),0),IF($I7="Halbjährlich",IF(MOD(12-$J7,6)=0,$L7*$M7*VLOOKUP(Stammdaten!$B$9,Stammdaten!$A$13:$C$15,IF($C7="Einnahme",2,3),FALSE),0),IF($I7="Einmalig",IF(12=$J7,$L7*$M7*VLOOKUP(Stammdaten!$B$9,Stammdaten!$A$13:$C$15,IF($C7="Einnahme",2,3),FALSE),0),0)))),0))</f>
        <v>64600</v>
      </c>
      <c r="AK7" s="16">
        <v>65150</v>
      </c>
      <c r="AL7" s="17">
        <f t="shared" ref="AL7:AL25" si="0">SUM(N7,P7,R7,T7,V7,X7,Z7,AB7,AD7,AF7,AH7,AJ7)</f>
        <v>775200</v>
      </c>
      <c r="AM7" s="17">
        <f t="shared" ref="AM7:AM25" si="1">SUM(O7,Q7,S7,U7,W7,Y7,AA7,AC7,AE7,AG7,AI7,AK7)</f>
        <v>779650</v>
      </c>
      <c r="AN7" s="17">
        <f t="shared" ref="AN7:AN25" si="2">IF($C7="Einnahme",AM7-AL7,AL7-AM7)</f>
        <v>4450</v>
      </c>
      <c r="AO7" s="18">
        <f t="shared" ref="AO7:AO25" si="3">IFERROR(AN7/AL7,0)</f>
        <v>5.7404540763673888E-3</v>
      </c>
      <c r="AP7" s="19" t="str">
        <f>IF(AN7&gt;=0,"Besser/Im Soll",IF(ABS(AO7)&lt;=Stammdaten!$B$7,"Im Soll",IF(ABS(AO7)&lt;=Stammdaten!$B$8,"Prüfen","Kritisch")))</f>
        <v>Besser/Im Soll</v>
      </c>
      <c r="AQ7" s="17">
        <f t="shared" ref="AQ7:AQ25" si="4">ABS(AN7)</f>
        <v>4450</v>
      </c>
      <c r="AR7" s="14" t="s">
        <v>108</v>
      </c>
    </row>
    <row r="8" spans="1:44" x14ac:dyDescent="0.25">
      <c r="A8" s="14">
        <v>2</v>
      </c>
      <c r="B8" s="14" t="s">
        <v>100</v>
      </c>
      <c r="C8" s="14" t="s">
        <v>101</v>
      </c>
      <c r="D8" s="14" t="s">
        <v>102</v>
      </c>
      <c r="E8" s="14" t="s">
        <v>109</v>
      </c>
      <c r="F8" s="14" t="s">
        <v>110</v>
      </c>
      <c r="G8" s="14" t="s">
        <v>111</v>
      </c>
      <c r="H8" s="14" t="s">
        <v>106</v>
      </c>
      <c r="I8" s="14" t="s">
        <v>107</v>
      </c>
      <c r="J8" s="15">
        <v>1</v>
      </c>
      <c r="K8" s="15">
        <v>12</v>
      </c>
      <c r="L8" s="15">
        <v>8</v>
      </c>
      <c r="M8" s="16">
        <v>7200</v>
      </c>
      <c r="N8" s="17">
        <f>IF($B8&lt;&gt;"Ja",0,IF(AND(1&gt;=$J8,1&lt;=$K8),IF($I8="Monatlich",$L8*$M8*VLOOKUP(Stammdaten!$B$9,Stammdaten!$A$13:$C$15,IF($C8="Einnahme",2,3),FALSE),IF($I8="Quartalsweise",IF(MOD(1-$J8,3)=0,$L8*$M8*VLOOKUP(Stammdaten!$B$9,Stammdaten!$A$13:$C$15,IF($C8="Einnahme",2,3),FALSE),0),IF($I8="Halbjährlich",IF(MOD(1-$J8,6)=0,$L8*$M8*VLOOKUP(Stammdaten!$B$9,Stammdaten!$A$13:$C$15,IF($C8="Einnahme",2,3),FALSE),0),IF($I8="Einmalig",IF(1=$J8,$L8*$M8*VLOOKUP(Stammdaten!$B$9,Stammdaten!$A$13:$C$15,IF($C8="Einnahme",2,3),FALSE),0),0)))),0))</f>
        <v>57600</v>
      </c>
      <c r="O8" s="16">
        <v>59600</v>
      </c>
      <c r="P8" s="17">
        <f>IF($B8&lt;&gt;"Ja",0,IF(AND(2&gt;=$J8,2&lt;=$K8),IF($I8="Monatlich",$L8*$M8*VLOOKUP(Stammdaten!$B$9,Stammdaten!$A$13:$C$15,IF($C8="Einnahme",2,3),FALSE),IF($I8="Quartalsweise",IF(MOD(2-$J8,3)=0,$L8*$M8*VLOOKUP(Stammdaten!$B$9,Stammdaten!$A$13:$C$15,IF($C8="Einnahme",2,3),FALSE),0),IF($I8="Halbjährlich",IF(MOD(2-$J8,6)=0,$L8*$M8*VLOOKUP(Stammdaten!$B$9,Stammdaten!$A$13:$C$15,IF($C8="Einnahme",2,3),FALSE),0),IF($I8="Einmalig",IF(2=$J8,$L8*$M8*VLOOKUP(Stammdaten!$B$9,Stammdaten!$A$13:$C$15,IF($C8="Einnahme",2,3),FALSE),0),0)))),0))</f>
        <v>57600</v>
      </c>
      <c r="Q8" s="16">
        <v>60250</v>
      </c>
      <c r="R8" s="17">
        <f>IF($B8&lt;&gt;"Ja",0,IF(AND(3&gt;=$J8,3&lt;=$K8),IF($I8="Monatlich",$L8*$M8*VLOOKUP(Stammdaten!$B$9,Stammdaten!$A$13:$C$15,IF($C8="Einnahme",2,3),FALSE),IF($I8="Quartalsweise",IF(MOD(3-$J8,3)=0,$L8*$M8*VLOOKUP(Stammdaten!$B$9,Stammdaten!$A$13:$C$15,IF($C8="Einnahme",2,3),FALSE),0),IF($I8="Halbjährlich",IF(MOD(3-$J8,6)=0,$L8*$M8*VLOOKUP(Stammdaten!$B$9,Stammdaten!$A$13:$C$15,IF($C8="Einnahme",2,3),FALSE),0),IF($I8="Einmalig",IF(3=$J8,$L8*$M8*VLOOKUP(Stammdaten!$B$9,Stammdaten!$A$13:$C$15,IF($C8="Einnahme",2,3),FALSE),0),0)))),0))</f>
        <v>57600</v>
      </c>
      <c r="S8" s="16">
        <v>61600</v>
      </c>
      <c r="T8" s="17">
        <f>IF($B8&lt;&gt;"Ja",0,IF(AND(4&gt;=$J8,4&lt;=$K8),IF($I8="Monatlich",$L8*$M8*VLOOKUP(Stammdaten!$B$9,Stammdaten!$A$13:$C$15,IF($C8="Einnahme",2,3),FALSE),IF($I8="Quartalsweise",IF(MOD(4-$J8,3)=0,$L8*$M8*VLOOKUP(Stammdaten!$B$9,Stammdaten!$A$13:$C$15,IF($C8="Einnahme",2,3),FALSE),0),IF($I8="Halbjährlich",IF(MOD(4-$J8,6)=0,$L8*$M8*VLOOKUP(Stammdaten!$B$9,Stammdaten!$A$13:$C$15,IF($C8="Einnahme",2,3),FALSE),0),IF($I8="Einmalig",IF(4=$J8,$L8*$M8*VLOOKUP(Stammdaten!$B$9,Stammdaten!$A$13:$C$15,IF($C8="Einnahme",2,3),FALSE),0),0)))),0))</f>
        <v>57600</v>
      </c>
      <c r="U8" s="16">
        <v>57150</v>
      </c>
      <c r="V8" s="17">
        <f>IF($B8&lt;&gt;"Ja",0,IF(AND(5&gt;=$J8,5&lt;=$K8),IF($I8="Monatlich",$L8*$M8*VLOOKUP(Stammdaten!$B$9,Stammdaten!$A$13:$C$15,IF($C8="Einnahme",2,3),FALSE),IF($I8="Quartalsweise",IF(MOD(5-$J8,3)=0,$L8*$M8*VLOOKUP(Stammdaten!$B$9,Stammdaten!$A$13:$C$15,IF($C8="Einnahme",2,3),FALSE),0),IF($I8="Halbjährlich",IF(MOD(5-$J8,6)=0,$L8*$M8*VLOOKUP(Stammdaten!$B$9,Stammdaten!$A$13:$C$15,IF($C8="Einnahme",2,3),FALSE),0),IF($I8="Einmalig",IF(5=$J8,$L8*$M8*VLOOKUP(Stammdaten!$B$9,Stammdaten!$A$13:$C$15,IF($C8="Einnahme",2,3),FALSE),0),0)))),0))</f>
        <v>57600</v>
      </c>
      <c r="W8" s="16">
        <v>61900</v>
      </c>
      <c r="X8" s="17">
        <f>IF($B8&lt;&gt;"Ja",0,IF(AND(6&gt;=$J8,6&lt;=$K8),IF($I8="Monatlich",$L8*$M8*VLOOKUP(Stammdaten!$B$9,Stammdaten!$A$13:$C$15,IF($C8="Einnahme",2,3),FALSE),IF($I8="Quartalsweise",IF(MOD(6-$J8,3)=0,$L8*$M8*VLOOKUP(Stammdaten!$B$9,Stammdaten!$A$13:$C$15,IF($C8="Einnahme",2,3),FALSE),0),IF($I8="Halbjährlich",IF(MOD(6-$J8,6)=0,$L8*$M8*VLOOKUP(Stammdaten!$B$9,Stammdaten!$A$13:$C$15,IF($C8="Einnahme",2,3),FALSE),0),IF($I8="Einmalig",IF(6=$J8,$L8*$M8*VLOOKUP(Stammdaten!$B$9,Stammdaten!$A$13:$C$15,IF($C8="Einnahme",2,3),FALSE),0),0)))),0))</f>
        <v>57600</v>
      </c>
      <c r="Y8" s="16">
        <v>60950</v>
      </c>
      <c r="Z8" s="17">
        <f>IF($B8&lt;&gt;"Ja",0,IF(AND(7&gt;=$J8,7&lt;=$K8),IF($I8="Monatlich",$L8*$M8*VLOOKUP(Stammdaten!$B$9,Stammdaten!$A$13:$C$15,IF($C8="Einnahme",2,3),FALSE),IF($I8="Quartalsweise",IF(MOD(7-$J8,3)=0,$L8*$M8*VLOOKUP(Stammdaten!$B$9,Stammdaten!$A$13:$C$15,IF($C8="Einnahme",2,3),FALSE),0),IF($I8="Halbjährlich",IF(MOD(7-$J8,6)=0,$L8*$M8*VLOOKUP(Stammdaten!$B$9,Stammdaten!$A$13:$C$15,IF($C8="Einnahme",2,3),FALSE),0),IF($I8="Einmalig",IF(7=$J8,$L8*$M8*VLOOKUP(Stammdaten!$B$9,Stammdaten!$A$13:$C$15,IF($C8="Einnahme",2,3),FALSE),0),0)))),0))</f>
        <v>57600</v>
      </c>
      <c r="AA8" s="16">
        <v>53350</v>
      </c>
      <c r="AB8" s="17">
        <f>IF($B8&lt;&gt;"Ja",0,IF(AND(8&gt;=$J8,8&lt;=$K8),IF($I8="Monatlich",$L8*$M8*VLOOKUP(Stammdaten!$B$9,Stammdaten!$A$13:$C$15,IF($C8="Einnahme",2,3),FALSE),IF($I8="Quartalsweise",IF(MOD(8-$J8,3)=0,$L8*$M8*VLOOKUP(Stammdaten!$B$9,Stammdaten!$A$13:$C$15,IF($C8="Einnahme",2,3),FALSE),0),IF($I8="Halbjährlich",IF(MOD(8-$J8,6)=0,$L8*$M8*VLOOKUP(Stammdaten!$B$9,Stammdaten!$A$13:$C$15,IF($C8="Einnahme",2,3),FALSE),0),IF($I8="Einmalig",IF(8=$J8,$L8*$M8*VLOOKUP(Stammdaten!$B$9,Stammdaten!$A$13:$C$15,IF($C8="Einnahme",2,3),FALSE),0),0)))),0))</f>
        <v>57600</v>
      </c>
      <c r="AC8" s="16">
        <v>59650</v>
      </c>
      <c r="AD8" s="17">
        <f>IF($B8&lt;&gt;"Ja",0,IF(AND(9&gt;=$J8,9&lt;=$K8),IF($I8="Monatlich",$L8*$M8*VLOOKUP(Stammdaten!$B$9,Stammdaten!$A$13:$C$15,IF($C8="Einnahme",2,3),FALSE),IF($I8="Quartalsweise",IF(MOD(9-$J8,3)=0,$L8*$M8*VLOOKUP(Stammdaten!$B$9,Stammdaten!$A$13:$C$15,IF($C8="Einnahme",2,3),FALSE),0),IF($I8="Halbjährlich",IF(MOD(9-$J8,6)=0,$L8*$M8*VLOOKUP(Stammdaten!$B$9,Stammdaten!$A$13:$C$15,IF($C8="Einnahme",2,3),FALSE),0),IF($I8="Einmalig",IF(9=$J8,$L8*$M8*VLOOKUP(Stammdaten!$B$9,Stammdaten!$A$13:$C$15,IF($C8="Einnahme",2,3),FALSE),0),0)))),0))</f>
        <v>57600</v>
      </c>
      <c r="AE8" s="16">
        <v>56850</v>
      </c>
      <c r="AF8" s="17">
        <f>IF($B8&lt;&gt;"Ja",0,IF(AND(10&gt;=$J8,10&lt;=$K8),IF($I8="Monatlich",$L8*$M8*VLOOKUP(Stammdaten!$B$9,Stammdaten!$A$13:$C$15,IF($C8="Einnahme",2,3),FALSE),IF($I8="Quartalsweise",IF(MOD(10-$J8,3)=0,$L8*$M8*VLOOKUP(Stammdaten!$B$9,Stammdaten!$A$13:$C$15,IF($C8="Einnahme",2,3),FALSE),0),IF($I8="Halbjährlich",IF(MOD(10-$J8,6)=0,$L8*$M8*VLOOKUP(Stammdaten!$B$9,Stammdaten!$A$13:$C$15,IF($C8="Einnahme",2,3),FALSE),0),IF($I8="Einmalig",IF(10=$J8,$L8*$M8*VLOOKUP(Stammdaten!$B$9,Stammdaten!$A$13:$C$15,IF($C8="Einnahme",2,3),FALSE),0),0)))),0))</f>
        <v>57600</v>
      </c>
      <c r="AG8" s="16">
        <v>57350</v>
      </c>
      <c r="AH8" s="17">
        <f>IF($B8&lt;&gt;"Ja",0,IF(AND(11&gt;=$J8,11&lt;=$K8),IF($I8="Monatlich",$L8*$M8*VLOOKUP(Stammdaten!$B$9,Stammdaten!$A$13:$C$15,IF($C8="Einnahme",2,3),FALSE),IF($I8="Quartalsweise",IF(MOD(11-$J8,3)=0,$L8*$M8*VLOOKUP(Stammdaten!$B$9,Stammdaten!$A$13:$C$15,IF($C8="Einnahme",2,3),FALSE),0),IF($I8="Halbjährlich",IF(MOD(11-$J8,6)=0,$L8*$M8*VLOOKUP(Stammdaten!$B$9,Stammdaten!$A$13:$C$15,IF($C8="Einnahme",2,3),FALSE),0),IF($I8="Einmalig",IF(11=$J8,$L8*$M8*VLOOKUP(Stammdaten!$B$9,Stammdaten!$A$13:$C$15,IF($C8="Einnahme",2,3),FALSE),0),0)))),0))</f>
        <v>57600</v>
      </c>
      <c r="AI8" s="16">
        <v>62650</v>
      </c>
      <c r="AJ8" s="17">
        <f>IF($B8&lt;&gt;"Ja",0,IF(AND(12&gt;=$J8,12&lt;=$K8),IF($I8="Monatlich",$L8*$M8*VLOOKUP(Stammdaten!$B$9,Stammdaten!$A$13:$C$15,IF($C8="Einnahme",2,3),FALSE),IF($I8="Quartalsweise",IF(MOD(12-$J8,3)=0,$L8*$M8*VLOOKUP(Stammdaten!$B$9,Stammdaten!$A$13:$C$15,IF($C8="Einnahme",2,3),FALSE),0),IF($I8="Halbjährlich",IF(MOD(12-$J8,6)=0,$L8*$M8*VLOOKUP(Stammdaten!$B$9,Stammdaten!$A$13:$C$15,IF($C8="Einnahme",2,3),FALSE),0),IF($I8="Einmalig",IF(12=$J8,$L8*$M8*VLOOKUP(Stammdaten!$B$9,Stammdaten!$A$13:$C$15,IF($C8="Einnahme",2,3),FALSE),0),0)))),0))</f>
        <v>57600</v>
      </c>
      <c r="AK8" s="16">
        <v>55650</v>
      </c>
      <c r="AL8" s="17">
        <f t="shared" si="0"/>
        <v>691200</v>
      </c>
      <c r="AM8" s="17">
        <f t="shared" si="1"/>
        <v>706950</v>
      </c>
      <c r="AN8" s="17">
        <f t="shared" si="2"/>
        <v>15750</v>
      </c>
      <c r="AO8" s="18">
        <f t="shared" si="3"/>
        <v>2.2786458333333332E-2</v>
      </c>
      <c r="AP8" s="19" t="str">
        <f>IF(AN8&gt;=0,"Besser/Im Soll",IF(ABS(AO8)&lt;=Stammdaten!$B$7,"Im Soll",IF(ABS(AO8)&lt;=Stammdaten!$B$8,"Prüfen","Kritisch")))</f>
        <v>Besser/Im Soll</v>
      </c>
      <c r="AQ8" s="17">
        <f t="shared" si="4"/>
        <v>15750</v>
      </c>
      <c r="AR8" s="14" t="s">
        <v>112</v>
      </c>
    </row>
    <row r="9" spans="1:44" x14ac:dyDescent="0.25">
      <c r="A9" s="14">
        <v>3</v>
      </c>
      <c r="B9" s="14" t="s">
        <v>100</v>
      </c>
      <c r="C9" s="14" t="s">
        <v>101</v>
      </c>
      <c r="D9" s="14" t="s">
        <v>113</v>
      </c>
      <c r="E9" s="14" t="s">
        <v>114</v>
      </c>
      <c r="F9" s="14" t="s">
        <v>115</v>
      </c>
      <c r="G9" s="14" t="s">
        <v>116</v>
      </c>
      <c r="H9" s="14" t="s">
        <v>117</v>
      </c>
      <c r="I9" s="14" t="s">
        <v>107</v>
      </c>
      <c r="J9" s="15">
        <v>2</v>
      </c>
      <c r="K9" s="15">
        <v>12</v>
      </c>
      <c r="L9" s="15">
        <v>5</v>
      </c>
      <c r="M9" s="16">
        <v>2500</v>
      </c>
      <c r="N9" s="17">
        <f>IF($B9&lt;&gt;"Ja",0,IF(AND(1&gt;=$J9,1&lt;=$K9),IF($I9="Monatlich",$L9*$M9*VLOOKUP(Stammdaten!$B$9,Stammdaten!$A$13:$C$15,IF($C9="Einnahme",2,3),FALSE),IF($I9="Quartalsweise",IF(MOD(1-$J9,3)=0,$L9*$M9*VLOOKUP(Stammdaten!$B$9,Stammdaten!$A$13:$C$15,IF($C9="Einnahme",2,3),FALSE),0),IF($I9="Halbjährlich",IF(MOD(1-$J9,6)=0,$L9*$M9*VLOOKUP(Stammdaten!$B$9,Stammdaten!$A$13:$C$15,IF($C9="Einnahme",2,3),FALSE),0),IF($I9="Einmalig",IF(1=$J9,$L9*$M9*VLOOKUP(Stammdaten!$B$9,Stammdaten!$A$13:$C$15,IF($C9="Einnahme",2,3),FALSE),0),0)))),0))</f>
        <v>0</v>
      </c>
      <c r="O9" s="16">
        <v>0</v>
      </c>
      <c r="P9" s="17">
        <f>IF($B9&lt;&gt;"Ja",0,IF(AND(2&gt;=$J9,2&lt;=$K9),IF($I9="Monatlich",$L9*$M9*VLOOKUP(Stammdaten!$B$9,Stammdaten!$A$13:$C$15,IF($C9="Einnahme",2,3),FALSE),IF($I9="Quartalsweise",IF(MOD(2-$J9,3)=0,$L9*$M9*VLOOKUP(Stammdaten!$B$9,Stammdaten!$A$13:$C$15,IF($C9="Einnahme",2,3),FALSE),0),IF($I9="Halbjährlich",IF(MOD(2-$J9,6)=0,$L9*$M9*VLOOKUP(Stammdaten!$B$9,Stammdaten!$A$13:$C$15,IF($C9="Einnahme",2,3),FALSE),0),IF($I9="Einmalig",IF(2=$J9,$L9*$M9*VLOOKUP(Stammdaten!$B$9,Stammdaten!$A$13:$C$15,IF($C9="Einnahme",2,3),FALSE),0),0)))),0))</f>
        <v>12500</v>
      </c>
      <c r="Q9" s="16">
        <v>11850</v>
      </c>
      <c r="R9" s="17">
        <f>IF($B9&lt;&gt;"Ja",0,IF(AND(3&gt;=$J9,3&lt;=$K9),IF($I9="Monatlich",$L9*$M9*VLOOKUP(Stammdaten!$B$9,Stammdaten!$A$13:$C$15,IF($C9="Einnahme",2,3),FALSE),IF($I9="Quartalsweise",IF(MOD(3-$J9,3)=0,$L9*$M9*VLOOKUP(Stammdaten!$B$9,Stammdaten!$A$13:$C$15,IF($C9="Einnahme",2,3),FALSE),0),IF($I9="Halbjährlich",IF(MOD(3-$J9,6)=0,$L9*$M9*VLOOKUP(Stammdaten!$B$9,Stammdaten!$A$13:$C$15,IF($C9="Einnahme",2,3),FALSE),0),IF($I9="Einmalig",IF(3=$J9,$L9*$M9*VLOOKUP(Stammdaten!$B$9,Stammdaten!$A$13:$C$15,IF($C9="Einnahme",2,3),FALSE),0),0)))),0))</f>
        <v>12500</v>
      </c>
      <c r="S9" s="16">
        <v>11650</v>
      </c>
      <c r="T9" s="17">
        <f>IF($B9&lt;&gt;"Ja",0,IF(AND(4&gt;=$J9,4&lt;=$K9),IF($I9="Monatlich",$L9*$M9*VLOOKUP(Stammdaten!$B$9,Stammdaten!$A$13:$C$15,IF($C9="Einnahme",2,3),FALSE),IF($I9="Quartalsweise",IF(MOD(4-$J9,3)=0,$L9*$M9*VLOOKUP(Stammdaten!$B$9,Stammdaten!$A$13:$C$15,IF($C9="Einnahme",2,3),FALSE),0),IF($I9="Halbjährlich",IF(MOD(4-$J9,6)=0,$L9*$M9*VLOOKUP(Stammdaten!$B$9,Stammdaten!$A$13:$C$15,IF($C9="Einnahme",2,3),FALSE),0),IF($I9="Einmalig",IF(4=$J9,$L9*$M9*VLOOKUP(Stammdaten!$B$9,Stammdaten!$A$13:$C$15,IF($C9="Einnahme",2,3),FALSE),0),0)))),0))</f>
        <v>12500</v>
      </c>
      <c r="U9" s="16">
        <v>12050</v>
      </c>
      <c r="V9" s="17">
        <f>IF($B9&lt;&gt;"Ja",0,IF(AND(5&gt;=$J9,5&lt;=$K9),IF($I9="Monatlich",$L9*$M9*VLOOKUP(Stammdaten!$B$9,Stammdaten!$A$13:$C$15,IF($C9="Einnahme",2,3),FALSE),IF($I9="Quartalsweise",IF(MOD(5-$J9,3)=0,$L9*$M9*VLOOKUP(Stammdaten!$B$9,Stammdaten!$A$13:$C$15,IF($C9="Einnahme",2,3),FALSE),0),IF($I9="Halbjährlich",IF(MOD(5-$J9,6)=0,$L9*$M9*VLOOKUP(Stammdaten!$B$9,Stammdaten!$A$13:$C$15,IF($C9="Einnahme",2,3),FALSE),0),IF($I9="Einmalig",IF(5=$J9,$L9*$M9*VLOOKUP(Stammdaten!$B$9,Stammdaten!$A$13:$C$15,IF($C9="Einnahme",2,3),FALSE),0),0)))),0))</f>
        <v>12500</v>
      </c>
      <c r="W9" s="16">
        <v>13300</v>
      </c>
      <c r="X9" s="17">
        <f>IF($B9&lt;&gt;"Ja",0,IF(AND(6&gt;=$J9,6&lt;=$K9),IF($I9="Monatlich",$L9*$M9*VLOOKUP(Stammdaten!$B$9,Stammdaten!$A$13:$C$15,IF($C9="Einnahme",2,3),FALSE),IF($I9="Quartalsweise",IF(MOD(6-$J9,3)=0,$L9*$M9*VLOOKUP(Stammdaten!$B$9,Stammdaten!$A$13:$C$15,IF($C9="Einnahme",2,3),FALSE),0),IF($I9="Halbjährlich",IF(MOD(6-$J9,6)=0,$L9*$M9*VLOOKUP(Stammdaten!$B$9,Stammdaten!$A$13:$C$15,IF($C9="Einnahme",2,3),FALSE),0),IF($I9="Einmalig",IF(6=$J9,$L9*$M9*VLOOKUP(Stammdaten!$B$9,Stammdaten!$A$13:$C$15,IF($C9="Einnahme",2,3),FALSE),0),0)))),0))</f>
        <v>12500</v>
      </c>
      <c r="Y9" s="16">
        <v>11600</v>
      </c>
      <c r="Z9" s="17">
        <f>IF($B9&lt;&gt;"Ja",0,IF(AND(7&gt;=$J9,7&lt;=$K9),IF($I9="Monatlich",$L9*$M9*VLOOKUP(Stammdaten!$B$9,Stammdaten!$A$13:$C$15,IF($C9="Einnahme",2,3),FALSE),IF($I9="Quartalsweise",IF(MOD(7-$J9,3)=0,$L9*$M9*VLOOKUP(Stammdaten!$B$9,Stammdaten!$A$13:$C$15,IF($C9="Einnahme",2,3),FALSE),0),IF($I9="Halbjährlich",IF(MOD(7-$J9,6)=0,$L9*$M9*VLOOKUP(Stammdaten!$B$9,Stammdaten!$A$13:$C$15,IF($C9="Einnahme",2,3),FALSE),0),IF($I9="Einmalig",IF(7=$J9,$L9*$M9*VLOOKUP(Stammdaten!$B$9,Stammdaten!$A$13:$C$15,IF($C9="Einnahme",2,3),FALSE),0),0)))),0))</f>
        <v>12500</v>
      </c>
      <c r="AA9" s="16">
        <v>11850</v>
      </c>
      <c r="AB9" s="17">
        <f>IF($B9&lt;&gt;"Ja",0,IF(AND(8&gt;=$J9,8&lt;=$K9),IF($I9="Monatlich",$L9*$M9*VLOOKUP(Stammdaten!$B$9,Stammdaten!$A$13:$C$15,IF($C9="Einnahme",2,3),FALSE),IF($I9="Quartalsweise",IF(MOD(8-$J9,3)=0,$L9*$M9*VLOOKUP(Stammdaten!$B$9,Stammdaten!$A$13:$C$15,IF($C9="Einnahme",2,3),FALSE),0),IF($I9="Halbjährlich",IF(MOD(8-$J9,6)=0,$L9*$M9*VLOOKUP(Stammdaten!$B$9,Stammdaten!$A$13:$C$15,IF($C9="Einnahme",2,3),FALSE),0),IF($I9="Einmalig",IF(8=$J9,$L9*$M9*VLOOKUP(Stammdaten!$B$9,Stammdaten!$A$13:$C$15,IF($C9="Einnahme",2,3),FALSE),0),0)))),0))</f>
        <v>12500</v>
      </c>
      <c r="AC9" s="16">
        <v>12950</v>
      </c>
      <c r="AD9" s="17">
        <f>IF($B9&lt;&gt;"Ja",0,IF(AND(9&gt;=$J9,9&lt;=$K9),IF($I9="Monatlich",$L9*$M9*VLOOKUP(Stammdaten!$B$9,Stammdaten!$A$13:$C$15,IF($C9="Einnahme",2,3),FALSE),IF($I9="Quartalsweise",IF(MOD(9-$J9,3)=0,$L9*$M9*VLOOKUP(Stammdaten!$B$9,Stammdaten!$A$13:$C$15,IF($C9="Einnahme",2,3),FALSE),0),IF($I9="Halbjährlich",IF(MOD(9-$J9,6)=0,$L9*$M9*VLOOKUP(Stammdaten!$B$9,Stammdaten!$A$13:$C$15,IF($C9="Einnahme",2,3),FALSE),0),IF($I9="Einmalig",IF(9=$J9,$L9*$M9*VLOOKUP(Stammdaten!$B$9,Stammdaten!$A$13:$C$15,IF($C9="Einnahme",2,3),FALSE),0),0)))),0))</f>
        <v>12500</v>
      </c>
      <c r="AE9" s="16">
        <v>12800</v>
      </c>
      <c r="AF9" s="17">
        <f>IF($B9&lt;&gt;"Ja",0,IF(AND(10&gt;=$J9,10&lt;=$K9),IF($I9="Monatlich",$L9*$M9*VLOOKUP(Stammdaten!$B$9,Stammdaten!$A$13:$C$15,IF($C9="Einnahme",2,3),FALSE),IF($I9="Quartalsweise",IF(MOD(10-$J9,3)=0,$L9*$M9*VLOOKUP(Stammdaten!$B$9,Stammdaten!$A$13:$C$15,IF($C9="Einnahme",2,3),FALSE),0),IF($I9="Halbjährlich",IF(MOD(10-$J9,6)=0,$L9*$M9*VLOOKUP(Stammdaten!$B$9,Stammdaten!$A$13:$C$15,IF($C9="Einnahme",2,3),FALSE),0),IF($I9="Einmalig",IF(10=$J9,$L9*$M9*VLOOKUP(Stammdaten!$B$9,Stammdaten!$A$13:$C$15,IF($C9="Einnahme",2,3),FALSE),0),0)))),0))</f>
        <v>12500</v>
      </c>
      <c r="AG9" s="16">
        <v>13200</v>
      </c>
      <c r="AH9" s="17">
        <f>IF($B9&lt;&gt;"Ja",0,IF(AND(11&gt;=$J9,11&lt;=$K9),IF($I9="Monatlich",$L9*$M9*VLOOKUP(Stammdaten!$B$9,Stammdaten!$A$13:$C$15,IF($C9="Einnahme",2,3),FALSE),IF($I9="Quartalsweise",IF(MOD(11-$J9,3)=0,$L9*$M9*VLOOKUP(Stammdaten!$B$9,Stammdaten!$A$13:$C$15,IF($C9="Einnahme",2,3),FALSE),0),IF($I9="Halbjährlich",IF(MOD(11-$J9,6)=0,$L9*$M9*VLOOKUP(Stammdaten!$B$9,Stammdaten!$A$13:$C$15,IF($C9="Einnahme",2,3),FALSE),0),IF($I9="Einmalig",IF(11=$J9,$L9*$M9*VLOOKUP(Stammdaten!$B$9,Stammdaten!$A$13:$C$15,IF($C9="Einnahme",2,3),FALSE),0),0)))),0))</f>
        <v>12500</v>
      </c>
      <c r="AI9" s="16">
        <v>12200</v>
      </c>
      <c r="AJ9" s="17">
        <f>IF($B9&lt;&gt;"Ja",0,IF(AND(12&gt;=$J9,12&lt;=$K9),IF($I9="Monatlich",$L9*$M9*VLOOKUP(Stammdaten!$B$9,Stammdaten!$A$13:$C$15,IF($C9="Einnahme",2,3),FALSE),IF($I9="Quartalsweise",IF(MOD(12-$J9,3)=0,$L9*$M9*VLOOKUP(Stammdaten!$B$9,Stammdaten!$A$13:$C$15,IF($C9="Einnahme",2,3),FALSE),0),IF($I9="Halbjährlich",IF(MOD(12-$J9,6)=0,$L9*$M9*VLOOKUP(Stammdaten!$B$9,Stammdaten!$A$13:$C$15,IF($C9="Einnahme",2,3),FALSE),0),IF($I9="Einmalig",IF(12=$J9,$L9*$M9*VLOOKUP(Stammdaten!$B$9,Stammdaten!$A$13:$C$15,IF($C9="Einnahme",2,3),FALSE),0),0)))),0))</f>
        <v>12500</v>
      </c>
      <c r="AK9" s="16">
        <v>11950</v>
      </c>
      <c r="AL9" s="17">
        <f t="shared" si="0"/>
        <v>137500</v>
      </c>
      <c r="AM9" s="17">
        <f t="shared" si="1"/>
        <v>135400</v>
      </c>
      <c r="AN9" s="17">
        <f t="shared" si="2"/>
        <v>-2100</v>
      </c>
      <c r="AO9" s="18">
        <f t="shared" si="3"/>
        <v>-1.5272727272727273E-2</v>
      </c>
      <c r="AP9" s="19" t="str">
        <f>IF(AN9&gt;=0,"Besser/Im Soll",IF(ABS(AO9)&lt;=Stammdaten!$B$7,"Im Soll",IF(ABS(AO9)&lt;=Stammdaten!$B$8,"Prüfen","Kritisch")))</f>
        <v>Im Soll</v>
      </c>
      <c r="AQ9" s="17">
        <f t="shared" si="4"/>
        <v>2100</v>
      </c>
      <c r="AR9" s="14" t="s">
        <v>118</v>
      </c>
    </row>
    <row r="10" spans="1:44" x14ac:dyDescent="0.25">
      <c r="A10" s="14">
        <v>4</v>
      </c>
      <c r="B10" s="14" t="s">
        <v>100</v>
      </c>
      <c r="C10" s="14" t="s">
        <v>101</v>
      </c>
      <c r="D10" s="14" t="s">
        <v>119</v>
      </c>
      <c r="E10" s="14" t="s">
        <v>120</v>
      </c>
      <c r="F10" s="14" t="s">
        <v>121</v>
      </c>
      <c r="G10" s="14" t="s">
        <v>122</v>
      </c>
      <c r="H10" s="14" t="s">
        <v>123</v>
      </c>
      <c r="I10" s="14" t="s">
        <v>124</v>
      </c>
      <c r="J10" s="15">
        <v>3</v>
      </c>
      <c r="K10" s="15">
        <v>12</v>
      </c>
      <c r="L10" s="15">
        <v>5</v>
      </c>
      <c r="M10" s="16">
        <v>3500</v>
      </c>
      <c r="N10" s="17">
        <f>IF($B10&lt;&gt;"Ja",0,IF(AND(1&gt;=$J10,1&lt;=$K10),IF($I10="Monatlich",$L10*$M10*VLOOKUP(Stammdaten!$B$9,Stammdaten!$A$13:$C$15,IF($C10="Einnahme",2,3),FALSE),IF($I10="Quartalsweise",IF(MOD(1-$J10,3)=0,$L10*$M10*VLOOKUP(Stammdaten!$B$9,Stammdaten!$A$13:$C$15,IF($C10="Einnahme",2,3),FALSE),0),IF($I10="Halbjährlich",IF(MOD(1-$J10,6)=0,$L10*$M10*VLOOKUP(Stammdaten!$B$9,Stammdaten!$A$13:$C$15,IF($C10="Einnahme",2,3),FALSE),0),IF($I10="Einmalig",IF(1=$J10,$L10*$M10*VLOOKUP(Stammdaten!$B$9,Stammdaten!$A$13:$C$15,IF($C10="Einnahme",2,3),FALSE),0),0)))),0))</f>
        <v>0</v>
      </c>
      <c r="O10" s="16">
        <v>0</v>
      </c>
      <c r="P10" s="17">
        <f>IF($B10&lt;&gt;"Ja",0,IF(AND(2&gt;=$J10,2&lt;=$K10),IF($I10="Monatlich",$L10*$M10*VLOOKUP(Stammdaten!$B$9,Stammdaten!$A$13:$C$15,IF($C10="Einnahme",2,3),FALSE),IF($I10="Quartalsweise",IF(MOD(2-$J10,3)=0,$L10*$M10*VLOOKUP(Stammdaten!$B$9,Stammdaten!$A$13:$C$15,IF($C10="Einnahme",2,3),FALSE),0),IF($I10="Halbjährlich",IF(MOD(2-$J10,6)=0,$L10*$M10*VLOOKUP(Stammdaten!$B$9,Stammdaten!$A$13:$C$15,IF($C10="Einnahme",2,3),FALSE),0),IF($I10="Einmalig",IF(2=$J10,$L10*$M10*VLOOKUP(Stammdaten!$B$9,Stammdaten!$A$13:$C$15,IF($C10="Einnahme",2,3),FALSE),0),0)))),0))</f>
        <v>0</v>
      </c>
      <c r="Q10" s="16">
        <v>0</v>
      </c>
      <c r="R10" s="17">
        <f>IF($B10&lt;&gt;"Ja",0,IF(AND(3&gt;=$J10,3&lt;=$K10),IF($I10="Monatlich",$L10*$M10*VLOOKUP(Stammdaten!$B$9,Stammdaten!$A$13:$C$15,IF($C10="Einnahme",2,3),FALSE),IF($I10="Quartalsweise",IF(MOD(3-$J10,3)=0,$L10*$M10*VLOOKUP(Stammdaten!$B$9,Stammdaten!$A$13:$C$15,IF($C10="Einnahme",2,3),FALSE),0),IF($I10="Halbjährlich",IF(MOD(3-$J10,6)=0,$L10*$M10*VLOOKUP(Stammdaten!$B$9,Stammdaten!$A$13:$C$15,IF($C10="Einnahme",2,3),FALSE),0),IF($I10="Einmalig",IF(3=$J10,$L10*$M10*VLOOKUP(Stammdaten!$B$9,Stammdaten!$A$13:$C$15,IF($C10="Einnahme",2,3),FALSE),0),0)))),0))</f>
        <v>17500</v>
      </c>
      <c r="S10" s="16">
        <v>16900</v>
      </c>
      <c r="T10" s="17">
        <f>IF($B10&lt;&gt;"Ja",0,IF(AND(4&gt;=$J10,4&lt;=$K10),IF($I10="Monatlich",$L10*$M10*VLOOKUP(Stammdaten!$B$9,Stammdaten!$A$13:$C$15,IF($C10="Einnahme",2,3),FALSE),IF($I10="Quartalsweise",IF(MOD(4-$J10,3)=0,$L10*$M10*VLOOKUP(Stammdaten!$B$9,Stammdaten!$A$13:$C$15,IF($C10="Einnahme",2,3),FALSE),0),IF($I10="Halbjährlich",IF(MOD(4-$J10,6)=0,$L10*$M10*VLOOKUP(Stammdaten!$B$9,Stammdaten!$A$13:$C$15,IF($C10="Einnahme",2,3),FALSE),0),IF($I10="Einmalig",IF(4=$J10,$L10*$M10*VLOOKUP(Stammdaten!$B$9,Stammdaten!$A$13:$C$15,IF($C10="Einnahme",2,3),FALSE),0),0)))),0))</f>
        <v>0</v>
      </c>
      <c r="U10" s="16">
        <v>0</v>
      </c>
      <c r="V10" s="17">
        <f>IF($B10&lt;&gt;"Ja",0,IF(AND(5&gt;=$J10,5&lt;=$K10),IF($I10="Monatlich",$L10*$M10*VLOOKUP(Stammdaten!$B$9,Stammdaten!$A$13:$C$15,IF($C10="Einnahme",2,3),FALSE),IF($I10="Quartalsweise",IF(MOD(5-$J10,3)=0,$L10*$M10*VLOOKUP(Stammdaten!$B$9,Stammdaten!$A$13:$C$15,IF($C10="Einnahme",2,3),FALSE),0),IF($I10="Halbjährlich",IF(MOD(5-$J10,6)=0,$L10*$M10*VLOOKUP(Stammdaten!$B$9,Stammdaten!$A$13:$C$15,IF($C10="Einnahme",2,3),FALSE),0),IF($I10="Einmalig",IF(5=$J10,$L10*$M10*VLOOKUP(Stammdaten!$B$9,Stammdaten!$A$13:$C$15,IF($C10="Einnahme",2,3),FALSE),0),0)))),0))</f>
        <v>0</v>
      </c>
      <c r="W10" s="16">
        <v>0</v>
      </c>
      <c r="X10" s="17">
        <f>IF($B10&lt;&gt;"Ja",0,IF(AND(6&gt;=$J10,6&lt;=$K10),IF($I10="Monatlich",$L10*$M10*VLOOKUP(Stammdaten!$B$9,Stammdaten!$A$13:$C$15,IF($C10="Einnahme",2,3),FALSE),IF($I10="Quartalsweise",IF(MOD(6-$J10,3)=0,$L10*$M10*VLOOKUP(Stammdaten!$B$9,Stammdaten!$A$13:$C$15,IF($C10="Einnahme",2,3),FALSE),0),IF($I10="Halbjährlich",IF(MOD(6-$J10,6)=0,$L10*$M10*VLOOKUP(Stammdaten!$B$9,Stammdaten!$A$13:$C$15,IF($C10="Einnahme",2,3),FALSE),0),IF($I10="Einmalig",IF(6=$J10,$L10*$M10*VLOOKUP(Stammdaten!$B$9,Stammdaten!$A$13:$C$15,IF($C10="Einnahme",2,3),FALSE),0),0)))),0))</f>
        <v>17500</v>
      </c>
      <c r="Y10" s="16">
        <v>17300</v>
      </c>
      <c r="Z10" s="17">
        <f>IF($B10&lt;&gt;"Ja",0,IF(AND(7&gt;=$J10,7&lt;=$K10),IF($I10="Monatlich",$L10*$M10*VLOOKUP(Stammdaten!$B$9,Stammdaten!$A$13:$C$15,IF($C10="Einnahme",2,3),FALSE),IF($I10="Quartalsweise",IF(MOD(7-$J10,3)=0,$L10*$M10*VLOOKUP(Stammdaten!$B$9,Stammdaten!$A$13:$C$15,IF($C10="Einnahme",2,3),FALSE),0),IF($I10="Halbjährlich",IF(MOD(7-$J10,6)=0,$L10*$M10*VLOOKUP(Stammdaten!$B$9,Stammdaten!$A$13:$C$15,IF($C10="Einnahme",2,3),FALSE),0),IF($I10="Einmalig",IF(7=$J10,$L10*$M10*VLOOKUP(Stammdaten!$B$9,Stammdaten!$A$13:$C$15,IF($C10="Einnahme",2,3),FALSE),0),0)))),0))</f>
        <v>0</v>
      </c>
      <c r="AA10" s="16">
        <v>0</v>
      </c>
      <c r="AB10" s="17">
        <f>IF($B10&lt;&gt;"Ja",0,IF(AND(8&gt;=$J10,8&lt;=$K10),IF($I10="Monatlich",$L10*$M10*VLOOKUP(Stammdaten!$B$9,Stammdaten!$A$13:$C$15,IF($C10="Einnahme",2,3),FALSE),IF($I10="Quartalsweise",IF(MOD(8-$J10,3)=0,$L10*$M10*VLOOKUP(Stammdaten!$B$9,Stammdaten!$A$13:$C$15,IF($C10="Einnahme",2,3),FALSE),0),IF($I10="Halbjährlich",IF(MOD(8-$J10,6)=0,$L10*$M10*VLOOKUP(Stammdaten!$B$9,Stammdaten!$A$13:$C$15,IF($C10="Einnahme",2,3),FALSE),0),IF($I10="Einmalig",IF(8=$J10,$L10*$M10*VLOOKUP(Stammdaten!$B$9,Stammdaten!$A$13:$C$15,IF($C10="Einnahme",2,3),FALSE),0),0)))),0))</f>
        <v>0</v>
      </c>
      <c r="AC10" s="16">
        <v>0</v>
      </c>
      <c r="AD10" s="17">
        <f>IF($B10&lt;&gt;"Ja",0,IF(AND(9&gt;=$J10,9&lt;=$K10),IF($I10="Monatlich",$L10*$M10*VLOOKUP(Stammdaten!$B$9,Stammdaten!$A$13:$C$15,IF($C10="Einnahme",2,3),FALSE),IF($I10="Quartalsweise",IF(MOD(9-$J10,3)=0,$L10*$M10*VLOOKUP(Stammdaten!$B$9,Stammdaten!$A$13:$C$15,IF($C10="Einnahme",2,3),FALSE),0),IF($I10="Halbjährlich",IF(MOD(9-$J10,6)=0,$L10*$M10*VLOOKUP(Stammdaten!$B$9,Stammdaten!$A$13:$C$15,IF($C10="Einnahme",2,3),FALSE),0),IF($I10="Einmalig",IF(9=$J10,$L10*$M10*VLOOKUP(Stammdaten!$B$9,Stammdaten!$A$13:$C$15,IF($C10="Einnahme",2,3),FALSE),0),0)))),0))</f>
        <v>17500</v>
      </c>
      <c r="AE10" s="16">
        <v>16950</v>
      </c>
      <c r="AF10" s="17">
        <f>IF($B10&lt;&gt;"Ja",0,IF(AND(10&gt;=$J10,10&lt;=$K10),IF($I10="Monatlich",$L10*$M10*VLOOKUP(Stammdaten!$B$9,Stammdaten!$A$13:$C$15,IF($C10="Einnahme",2,3),FALSE),IF($I10="Quartalsweise",IF(MOD(10-$J10,3)=0,$L10*$M10*VLOOKUP(Stammdaten!$B$9,Stammdaten!$A$13:$C$15,IF($C10="Einnahme",2,3),FALSE),0),IF($I10="Halbjährlich",IF(MOD(10-$J10,6)=0,$L10*$M10*VLOOKUP(Stammdaten!$B$9,Stammdaten!$A$13:$C$15,IF($C10="Einnahme",2,3),FALSE),0),IF($I10="Einmalig",IF(10=$J10,$L10*$M10*VLOOKUP(Stammdaten!$B$9,Stammdaten!$A$13:$C$15,IF($C10="Einnahme",2,3),FALSE),0),0)))),0))</f>
        <v>0</v>
      </c>
      <c r="AG10" s="16">
        <v>0</v>
      </c>
      <c r="AH10" s="17">
        <f>IF($B10&lt;&gt;"Ja",0,IF(AND(11&gt;=$J10,11&lt;=$K10),IF($I10="Monatlich",$L10*$M10*VLOOKUP(Stammdaten!$B$9,Stammdaten!$A$13:$C$15,IF($C10="Einnahme",2,3),FALSE),IF($I10="Quartalsweise",IF(MOD(11-$J10,3)=0,$L10*$M10*VLOOKUP(Stammdaten!$B$9,Stammdaten!$A$13:$C$15,IF($C10="Einnahme",2,3),FALSE),0),IF($I10="Halbjährlich",IF(MOD(11-$J10,6)=0,$L10*$M10*VLOOKUP(Stammdaten!$B$9,Stammdaten!$A$13:$C$15,IF($C10="Einnahme",2,3),FALSE),0),IF($I10="Einmalig",IF(11=$J10,$L10*$M10*VLOOKUP(Stammdaten!$B$9,Stammdaten!$A$13:$C$15,IF($C10="Einnahme",2,3),FALSE),0),0)))),0))</f>
        <v>0</v>
      </c>
      <c r="AI10" s="16">
        <v>0</v>
      </c>
      <c r="AJ10" s="17">
        <f>IF($B10&lt;&gt;"Ja",0,IF(AND(12&gt;=$J10,12&lt;=$K10),IF($I10="Monatlich",$L10*$M10*VLOOKUP(Stammdaten!$B$9,Stammdaten!$A$13:$C$15,IF($C10="Einnahme",2,3),FALSE),IF($I10="Quartalsweise",IF(MOD(12-$J10,3)=0,$L10*$M10*VLOOKUP(Stammdaten!$B$9,Stammdaten!$A$13:$C$15,IF($C10="Einnahme",2,3),FALSE),0),IF($I10="Halbjährlich",IF(MOD(12-$J10,6)=0,$L10*$M10*VLOOKUP(Stammdaten!$B$9,Stammdaten!$A$13:$C$15,IF($C10="Einnahme",2,3),FALSE),0),IF($I10="Einmalig",IF(12=$J10,$L10*$M10*VLOOKUP(Stammdaten!$B$9,Stammdaten!$A$13:$C$15,IF($C10="Einnahme",2,3),FALSE),0),0)))),0))</f>
        <v>17500</v>
      </c>
      <c r="AK10" s="16">
        <v>17700</v>
      </c>
      <c r="AL10" s="17">
        <f t="shared" si="0"/>
        <v>70000</v>
      </c>
      <c r="AM10" s="17">
        <f t="shared" si="1"/>
        <v>68850</v>
      </c>
      <c r="AN10" s="17">
        <f t="shared" si="2"/>
        <v>-1150</v>
      </c>
      <c r="AO10" s="18">
        <f t="shared" si="3"/>
        <v>-1.6428571428571428E-2</v>
      </c>
      <c r="AP10" s="19" t="str">
        <f>IF(AN10&gt;=0,"Besser/Im Soll",IF(ABS(AO10)&lt;=Stammdaten!$B$7,"Im Soll",IF(ABS(AO10)&lt;=Stammdaten!$B$8,"Prüfen","Kritisch")))</f>
        <v>Im Soll</v>
      </c>
      <c r="AQ10" s="17">
        <f t="shared" si="4"/>
        <v>1150</v>
      </c>
      <c r="AR10" s="14" t="s">
        <v>125</v>
      </c>
    </row>
    <row r="11" spans="1:44" x14ac:dyDescent="0.25">
      <c r="A11" s="14">
        <v>5</v>
      </c>
      <c r="B11" s="14" t="s">
        <v>100</v>
      </c>
      <c r="C11" s="14" t="s">
        <v>126</v>
      </c>
      <c r="D11" s="14" t="s">
        <v>127</v>
      </c>
      <c r="E11" s="14" t="s">
        <v>128</v>
      </c>
      <c r="F11" s="14" t="s">
        <v>129</v>
      </c>
      <c r="G11" s="14" t="s">
        <v>130</v>
      </c>
      <c r="H11" s="14" t="s">
        <v>131</v>
      </c>
      <c r="I11" s="14" t="s">
        <v>107</v>
      </c>
      <c r="J11" s="15">
        <v>1</v>
      </c>
      <c r="K11" s="15">
        <v>12</v>
      </c>
      <c r="L11" s="15">
        <v>12</v>
      </c>
      <c r="M11" s="16">
        <v>4100</v>
      </c>
      <c r="N11" s="17">
        <f>IF($B11&lt;&gt;"Ja",0,IF(AND(1&gt;=$J11,1&lt;=$K11),IF($I11="Monatlich",$L11*$M11*VLOOKUP(Stammdaten!$B$9,Stammdaten!$A$13:$C$15,IF($C11="Einnahme",2,3),FALSE),IF($I11="Quartalsweise",IF(MOD(1-$J11,3)=0,$L11*$M11*VLOOKUP(Stammdaten!$B$9,Stammdaten!$A$13:$C$15,IF($C11="Einnahme",2,3),FALSE),0),IF($I11="Halbjährlich",IF(MOD(1-$J11,6)=0,$L11*$M11*VLOOKUP(Stammdaten!$B$9,Stammdaten!$A$13:$C$15,IF($C11="Einnahme",2,3),FALSE),0),IF($I11="Einmalig",IF(1=$J11,$L11*$M11*VLOOKUP(Stammdaten!$B$9,Stammdaten!$A$13:$C$15,IF($C11="Einnahme",2,3),FALSE),0),0)))),0))</f>
        <v>49200</v>
      </c>
      <c r="O11" s="16">
        <v>49100</v>
      </c>
      <c r="P11" s="17">
        <f>IF($B11&lt;&gt;"Ja",0,IF(AND(2&gt;=$J11,2&lt;=$K11),IF($I11="Monatlich",$L11*$M11*VLOOKUP(Stammdaten!$B$9,Stammdaten!$A$13:$C$15,IF($C11="Einnahme",2,3),FALSE),IF($I11="Quartalsweise",IF(MOD(2-$J11,3)=0,$L11*$M11*VLOOKUP(Stammdaten!$B$9,Stammdaten!$A$13:$C$15,IF($C11="Einnahme",2,3),FALSE),0),IF($I11="Halbjährlich",IF(MOD(2-$J11,6)=0,$L11*$M11*VLOOKUP(Stammdaten!$B$9,Stammdaten!$A$13:$C$15,IF($C11="Einnahme",2,3),FALSE),0),IF($I11="Einmalig",IF(2=$J11,$L11*$M11*VLOOKUP(Stammdaten!$B$9,Stammdaten!$A$13:$C$15,IF($C11="Einnahme",2,3),FALSE),0),0)))),0))</f>
        <v>49200</v>
      </c>
      <c r="Q11" s="16">
        <v>51500</v>
      </c>
      <c r="R11" s="17">
        <f>IF($B11&lt;&gt;"Ja",0,IF(AND(3&gt;=$J11,3&lt;=$K11),IF($I11="Monatlich",$L11*$M11*VLOOKUP(Stammdaten!$B$9,Stammdaten!$A$13:$C$15,IF($C11="Einnahme",2,3),FALSE),IF($I11="Quartalsweise",IF(MOD(3-$J11,3)=0,$L11*$M11*VLOOKUP(Stammdaten!$B$9,Stammdaten!$A$13:$C$15,IF($C11="Einnahme",2,3),FALSE),0),IF($I11="Halbjährlich",IF(MOD(3-$J11,6)=0,$L11*$M11*VLOOKUP(Stammdaten!$B$9,Stammdaten!$A$13:$C$15,IF($C11="Einnahme",2,3),FALSE),0),IF($I11="Einmalig",IF(3=$J11,$L11*$M11*VLOOKUP(Stammdaten!$B$9,Stammdaten!$A$13:$C$15,IF($C11="Einnahme",2,3),FALSE),0),0)))),0))</f>
        <v>49200</v>
      </c>
      <c r="S11" s="16">
        <v>47350</v>
      </c>
      <c r="T11" s="17">
        <f>IF($B11&lt;&gt;"Ja",0,IF(AND(4&gt;=$J11,4&lt;=$K11),IF($I11="Monatlich",$L11*$M11*VLOOKUP(Stammdaten!$B$9,Stammdaten!$A$13:$C$15,IF($C11="Einnahme",2,3),FALSE),IF($I11="Quartalsweise",IF(MOD(4-$J11,3)=0,$L11*$M11*VLOOKUP(Stammdaten!$B$9,Stammdaten!$A$13:$C$15,IF($C11="Einnahme",2,3),FALSE),0),IF($I11="Halbjährlich",IF(MOD(4-$J11,6)=0,$L11*$M11*VLOOKUP(Stammdaten!$B$9,Stammdaten!$A$13:$C$15,IF($C11="Einnahme",2,3),FALSE),0),IF($I11="Einmalig",IF(4=$J11,$L11*$M11*VLOOKUP(Stammdaten!$B$9,Stammdaten!$A$13:$C$15,IF($C11="Einnahme",2,3),FALSE),0),0)))),0))</f>
        <v>49200</v>
      </c>
      <c r="U11" s="16">
        <v>46600</v>
      </c>
      <c r="V11" s="17">
        <f>IF($B11&lt;&gt;"Ja",0,IF(AND(5&gt;=$J11,5&lt;=$K11),IF($I11="Monatlich",$L11*$M11*VLOOKUP(Stammdaten!$B$9,Stammdaten!$A$13:$C$15,IF($C11="Einnahme",2,3),FALSE),IF($I11="Quartalsweise",IF(MOD(5-$J11,3)=0,$L11*$M11*VLOOKUP(Stammdaten!$B$9,Stammdaten!$A$13:$C$15,IF($C11="Einnahme",2,3),FALSE),0),IF($I11="Halbjährlich",IF(MOD(5-$J11,6)=0,$L11*$M11*VLOOKUP(Stammdaten!$B$9,Stammdaten!$A$13:$C$15,IF($C11="Einnahme",2,3),FALSE),0),IF($I11="Einmalig",IF(5=$J11,$L11*$M11*VLOOKUP(Stammdaten!$B$9,Stammdaten!$A$13:$C$15,IF($C11="Einnahme",2,3),FALSE),0),0)))),0))</f>
        <v>49200</v>
      </c>
      <c r="W11" s="16">
        <v>51500</v>
      </c>
      <c r="X11" s="17">
        <f>IF($B11&lt;&gt;"Ja",0,IF(AND(6&gt;=$J11,6&lt;=$K11),IF($I11="Monatlich",$L11*$M11*VLOOKUP(Stammdaten!$B$9,Stammdaten!$A$13:$C$15,IF($C11="Einnahme",2,3),FALSE),IF($I11="Quartalsweise",IF(MOD(6-$J11,3)=0,$L11*$M11*VLOOKUP(Stammdaten!$B$9,Stammdaten!$A$13:$C$15,IF($C11="Einnahme",2,3),FALSE),0),IF($I11="Halbjährlich",IF(MOD(6-$J11,6)=0,$L11*$M11*VLOOKUP(Stammdaten!$B$9,Stammdaten!$A$13:$C$15,IF($C11="Einnahme",2,3),FALSE),0),IF($I11="Einmalig",IF(6=$J11,$L11*$M11*VLOOKUP(Stammdaten!$B$9,Stammdaten!$A$13:$C$15,IF($C11="Einnahme",2,3),FALSE),0),0)))),0))</f>
        <v>49200</v>
      </c>
      <c r="Y11" s="16">
        <v>49250</v>
      </c>
      <c r="Z11" s="17">
        <f>IF($B11&lt;&gt;"Ja",0,IF(AND(7&gt;=$J11,7&lt;=$K11),IF($I11="Monatlich",$L11*$M11*VLOOKUP(Stammdaten!$B$9,Stammdaten!$A$13:$C$15,IF($C11="Einnahme",2,3),FALSE),IF($I11="Quartalsweise",IF(MOD(7-$J11,3)=0,$L11*$M11*VLOOKUP(Stammdaten!$B$9,Stammdaten!$A$13:$C$15,IF($C11="Einnahme",2,3),FALSE),0),IF($I11="Halbjährlich",IF(MOD(7-$J11,6)=0,$L11*$M11*VLOOKUP(Stammdaten!$B$9,Stammdaten!$A$13:$C$15,IF($C11="Einnahme",2,3),FALSE),0),IF($I11="Einmalig",IF(7=$J11,$L11*$M11*VLOOKUP(Stammdaten!$B$9,Stammdaten!$A$13:$C$15,IF($C11="Einnahme",2,3),FALSE),0),0)))),0))</f>
        <v>49200</v>
      </c>
      <c r="AA11" s="16">
        <v>51300</v>
      </c>
      <c r="AB11" s="17">
        <f>IF($B11&lt;&gt;"Ja",0,IF(AND(8&gt;=$J11,8&lt;=$K11),IF($I11="Monatlich",$L11*$M11*VLOOKUP(Stammdaten!$B$9,Stammdaten!$A$13:$C$15,IF($C11="Einnahme",2,3),FALSE),IF($I11="Quartalsweise",IF(MOD(8-$J11,3)=0,$L11*$M11*VLOOKUP(Stammdaten!$B$9,Stammdaten!$A$13:$C$15,IF($C11="Einnahme",2,3),FALSE),0),IF($I11="Halbjährlich",IF(MOD(8-$J11,6)=0,$L11*$M11*VLOOKUP(Stammdaten!$B$9,Stammdaten!$A$13:$C$15,IF($C11="Einnahme",2,3),FALSE),0),IF($I11="Einmalig",IF(8=$J11,$L11*$M11*VLOOKUP(Stammdaten!$B$9,Stammdaten!$A$13:$C$15,IF($C11="Einnahme",2,3),FALSE),0),0)))),0))</f>
        <v>49200</v>
      </c>
      <c r="AC11" s="16">
        <v>52300</v>
      </c>
      <c r="AD11" s="17">
        <f>IF($B11&lt;&gt;"Ja",0,IF(AND(9&gt;=$J11,9&lt;=$K11),IF($I11="Monatlich",$L11*$M11*VLOOKUP(Stammdaten!$B$9,Stammdaten!$A$13:$C$15,IF($C11="Einnahme",2,3),FALSE),IF($I11="Quartalsweise",IF(MOD(9-$J11,3)=0,$L11*$M11*VLOOKUP(Stammdaten!$B$9,Stammdaten!$A$13:$C$15,IF($C11="Einnahme",2,3),FALSE),0),IF($I11="Halbjährlich",IF(MOD(9-$J11,6)=0,$L11*$M11*VLOOKUP(Stammdaten!$B$9,Stammdaten!$A$13:$C$15,IF($C11="Einnahme",2,3),FALSE),0),IF($I11="Einmalig",IF(9=$J11,$L11*$M11*VLOOKUP(Stammdaten!$B$9,Stammdaten!$A$13:$C$15,IF($C11="Einnahme",2,3),FALSE),0),0)))),0))</f>
        <v>49200</v>
      </c>
      <c r="AE11" s="16">
        <v>52950</v>
      </c>
      <c r="AF11" s="17">
        <f>IF($B11&lt;&gt;"Ja",0,IF(AND(10&gt;=$J11,10&lt;=$K11),IF($I11="Monatlich",$L11*$M11*VLOOKUP(Stammdaten!$B$9,Stammdaten!$A$13:$C$15,IF($C11="Einnahme",2,3),FALSE),IF($I11="Quartalsweise",IF(MOD(10-$J11,3)=0,$L11*$M11*VLOOKUP(Stammdaten!$B$9,Stammdaten!$A$13:$C$15,IF($C11="Einnahme",2,3),FALSE),0),IF($I11="Halbjährlich",IF(MOD(10-$J11,6)=0,$L11*$M11*VLOOKUP(Stammdaten!$B$9,Stammdaten!$A$13:$C$15,IF($C11="Einnahme",2,3),FALSE),0),IF($I11="Einmalig",IF(10=$J11,$L11*$M11*VLOOKUP(Stammdaten!$B$9,Stammdaten!$A$13:$C$15,IF($C11="Einnahme",2,3),FALSE),0),0)))),0))</f>
        <v>49200</v>
      </c>
      <c r="AG11" s="16">
        <v>53450</v>
      </c>
      <c r="AH11" s="17">
        <f>IF($B11&lt;&gt;"Ja",0,IF(AND(11&gt;=$J11,11&lt;=$K11),IF($I11="Monatlich",$L11*$M11*VLOOKUP(Stammdaten!$B$9,Stammdaten!$A$13:$C$15,IF($C11="Einnahme",2,3),FALSE),IF($I11="Quartalsweise",IF(MOD(11-$J11,3)=0,$L11*$M11*VLOOKUP(Stammdaten!$B$9,Stammdaten!$A$13:$C$15,IF($C11="Einnahme",2,3),FALSE),0),IF($I11="Halbjährlich",IF(MOD(11-$J11,6)=0,$L11*$M11*VLOOKUP(Stammdaten!$B$9,Stammdaten!$A$13:$C$15,IF($C11="Einnahme",2,3),FALSE),0),IF($I11="Einmalig",IF(11=$J11,$L11*$M11*VLOOKUP(Stammdaten!$B$9,Stammdaten!$A$13:$C$15,IF($C11="Einnahme",2,3),FALSE),0),0)))),0))</f>
        <v>49200</v>
      </c>
      <c r="AI11" s="16">
        <v>53200</v>
      </c>
      <c r="AJ11" s="17">
        <f>IF($B11&lt;&gt;"Ja",0,IF(AND(12&gt;=$J11,12&lt;=$K11),IF($I11="Monatlich",$L11*$M11*VLOOKUP(Stammdaten!$B$9,Stammdaten!$A$13:$C$15,IF($C11="Einnahme",2,3),FALSE),IF($I11="Quartalsweise",IF(MOD(12-$J11,3)=0,$L11*$M11*VLOOKUP(Stammdaten!$B$9,Stammdaten!$A$13:$C$15,IF($C11="Einnahme",2,3),FALSE),0),IF($I11="Halbjährlich",IF(MOD(12-$J11,6)=0,$L11*$M11*VLOOKUP(Stammdaten!$B$9,Stammdaten!$A$13:$C$15,IF($C11="Einnahme",2,3),FALSE),0),IF($I11="Einmalig",IF(12=$J11,$L11*$M11*VLOOKUP(Stammdaten!$B$9,Stammdaten!$A$13:$C$15,IF($C11="Einnahme",2,3),FALSE),0),0)))),0))</f>
        <v>49200</v>
      </c>
      <c r="AK11" s="16">
        <v>48850</v>
      </c>
      <c r="AL11" s="17">
        <f t="shared" si="0"/>
        <v>590400</v>
      </c>
      <c r="AM11" s="17">
        <f t="shared" si="1"/>
        <v>607350</v>
      </c>
      <c r="AN11" s="17">
        <f t="shared" si="2"/>
        <v>-16950</v>
      </c>
      <c r="AO11" s="18">
        <f t="shared" si="3"/>
        <v>-2.8709349593495935E-2</v>
      </c>
      <c r="AP11" s="19" t="str">
        <f>IF(AN11&gt;=0,"Besser/Im Soll",IF(ABS(AO11)&lt;=Stammdaten!$B$7,"Im Soll",IF(ABS(AO11)&lt;=Stammdaten!$B$8,"Prüfen","Kritisch")))</f>
        <v>Im Soll</v>
      </c>
      <c r="AQ11" s="17">
        <f t="shared" si="4"/>
        <v>16950</v>
      </c>
      <c r="AR11" s="14" t="s">
        <v>132</v>
      </c>
    </row>
    <row r="12" spans="1:44" x14ac:dyDescent="0.25">
      <c r="A12" s="14">
        <v>6</v>
      </c>
      <c r="B12" s="14" t="s">
        <v>100</v>
      </c>
      <c r="C12" s="14" t="s">
        <v>126</v>
      </c>
      <c r="D12" s="14" t="s">
        <v>102</v>
      </c>
      <c r="E12" s="14" t="s">
        <v>133</v>
      </c>
      <c r="F12" s="14" t="s">
        <v>129</v>
      </c>
      <c r="G12" s="14" t="s">
        <v>134</v>
      </c>
      <c r="H12" s="14" t="s">
        <v>106</v>
      </c>
      <c r="I12" s="14" t="s">
        <v>107</v>
      </c>
      <c r="J12" s="15">
        <v>1</v>
      </c>
      <c r="K12" s="15">
        <v>12</v>
      </c>
      <c r="L12" s="15">
        <v>1</v>
      </c>
      <c r="M12" s="16">
        <v>5200</v>
      </c>
      <c r="N12" s="17">
        <f>IF($B12&lt;&gt;"Ja",0,IF(AND(1&gt;=$J12,1&lt;=$K12),IF($I12="Monatlich",$L12*$M12*VLOOKUP(Stammdaten!$B$9,Stammdaten!$A$13:$C$15,IF($C12="Einnahme",2,3),FALSE),IF($I12="Quartalsweise",IF(MOD(1-$J12,3)=0,$L12*$M12*VLOOKUP(Stammdaten!$B$9,Stammdaten!$A$13:$C$15,IF($C12="Einnahme",2,3),FALSE),0),IF($I12="Halbjährlich",IF(MOD(1-$J12,6)=0,$L12*$M12*VLOOKUP(Stammdaten!$B$9,Stammdaten!$A$13:$C$15,IF($C12="Einnahme",2,3),FALSE),0),IF($I12="Einmalig",IF(1=$J12,$L12*$M12*VLOOKUP(Stammdaten!$B$9,Stammdaten!$A$13:$C$15,IF($C12="Einnahme",2,3),FALSE),0),0)))),0))</f>
        <v>5200</v>
      </c>
      <c r="O12" s="16">
        <v>5750</v>
      </c>
      <c r="P12" s="17">
        <f>IF($B12&lt;&gt;"Ja",0,IF(AND(2&gt;=$J12,2&lt;=$K12),IF($I12="Monatlich",$L12*$M12*VLOOKUP(Stammdaten!$B$9,Stammdaten!$A$13:$C$15,IF($C12="Einnahme",2,3),FALSE),IF($I12="Quartalsweise",IF(MOD(2-$J12,3)=0,$L12*$M12*VLOOKUP(Stammdaten!$B$9,Stammdaten!$A$13:$C$15,IF($C12="Einnahme",2,3),FALSE),0),IF($I12="Halbjährlich",IF(MOD(2-$J12,6)=0,$L12*$M12*VLOOKUP(Stammdaten!$B$9,Stammdaten!$A$13:$C$15,IF($C12="Einnahme",2,3),FALSE),0),IF($I12="Einmalig",IF(2=$J12,$L12*$M12*VLOOKUP(Stammdaten!$B$9,Stammdaten!$A$13:$C$15,IF($C12="Einnahme",2,3),FALSE),0),0)))),0))</f>
        <v>5200</v>
      </c>
      <c r="Q12" s="16">
        <v>5750</v>
      </c>
      <c r="R12" s="17">
        <f>IF($B12&lt;&gt;"Ja",0,IF(AND(3&gt;=$J12,3&lt;=$K12),IF($I12="Monatlich",$L12*$M12*VLOOKUP(Stammdaten!$B$9,Stammdaten!$A$13:$C$15,IF($C12="Einnahme",2,3),FALSE),IF($I12="Quartalsweise",IF(MOD(3-$J12,3)=0,$L12*$M12*VLOOKUP(Stammdaten!$B$9,Stammdaten!$A$13:$C$15,IF($C12="Einnahme",2,3),FALSE),0),IF($I12="Halbjährlich",IF(MOD(3-$J12,6)=0,$L12*$M12*VLOOKUP(Stammdaten!$B$9,Stammdaten!$A$13:$C$15,IF($C12="Einnahme",2,3),FALSE),0),IF($I12="Einmalig",IF(3=$J12,$L12*$M12*VLOOKUP(Stammdaten!$B$9,Stammdaten!$A$13:$C$15,IF($C12="Einnahme",2,3),FALSE),0),0)))),0))</f>
        <v>5200</v>
      </c>
      <c r="S12" s="16">
        <v>5450</v>
      </c>
      <c r="T12" s="17">
        <f>IF($B12&lt;&gt;"Ja",0,IF(AND(4&gt;=$J12,4&lt;=$K12),IF($I12="Monatlich",$L12*$M12*VLOOKUP(Stammdaten!$B$9,Stammdaten!$A$13:$C$15,IF($C12="Einnahme",2,3),FALSE),IF($I12="Quartalsweise",IF(MOD(4-$J12,3)=0,$L12*$M12*VLOOKUP(Stammdaten!$B$9,Stammdaten!$A$13:$C$15,IF($C12="Einnahme",2,3),FALSE),0),IF($I12="Halbjährlich",IF(MOD(4-$J12,6)=0,$L12*$M12*VLOOKUP(Stammdaten!$B$9,Stammdaten!$A$13:$C$15,IF($C12="Einnahme",2,3),FALSE),0),IF($I12="Einmalig",IF(4=$J12,$L12*$M12*VLOOKUP(Stammdaten!$B$9,Stammdaten!$A$13:$C$15,IF($C12="Einnahme",2,3),FALSE),0),0)))),0))</f>
        <v>5200</v>
      </c>
      <c r="U12" s="16">
        <v>5000</v>
      </c>
      <c r="V12" s="17">
        <f>IF($B12&lt;&gt;"Ja",0,IF(AND(5&gt;=$J12,5&lt;=$K12),IF($I12="Monatlich",$L12*$M12*VLOOKUP(Stammdaten!$B$9,Stammdaten!$A$13:$C$15,IF($C12="Einnahme",2,3),FALSE),IF($I12="Quartalsweise",IF(MOD(5-$J12,3)=0,$L12*$M12*VLOOKUP(Stammdaten!$B$9,Stammdaten!$A$13:$C$15,IF($C12="Einnahme",2,3),FALSE),0),IF($I12="Halbjährlich",IF(MOD(5-$J12,6)=0,$L12*$M12*VLOOKUP(Stammdaten!$B$9,Stammdaten!$A$13:$C$15,IF($C12="Einnahme",2,3),FALSE),0),IF($I12="Einmalig",IF(5=$J12,$L12*$M12*VLOOKUP(Stammdaten!$B$9,Stammdaten!$A$13:$C$15,IF($C12="Einnahme",2,3),FALSE),0),0)))),0))</f>
        <v>5200</v>
      </c>
      <c r="W12" s="16">
        <v>5000</v>
      </c>
      <c r="X12" s="17">
        <f>IF($B12&lt;&gt;"Ja",0,IF(AND(6&gt;=$J12,6&lt;=$K12),IF($I12="Monatlich",$L12*$M12*VLOOKUP(Stammdaten!$B$9,Stammdaten!$A$13:$C$15,IF($C12="Einnahme",2,3),FALSE),IF($I12="Quartalsweise",IF(MOD(6-$J12,3)=0,$L12*$M12*VLOOKUP(Stammdaten!$B$9,Stammdaten!$A$13:$C$15,IF($C12="Einnahme",2,3),FALSE),0),IF($I12="Halbjährlich",IF(MOD(6-$J12,6)=0,$L12*$M12*VLOOKUP(Stammdaten!$B$9,Stammdaten!$A$13:$C$15,IF($C12="Einnahme",2,3),FALSE),0),IF($I12="Einmalig",IF(6=$J12,$L12*$M12*VLOOKUP(Stammdaten!$B$9,Stammdaten!$A$13:$C$15,IF($C12="Einnahme",2,3),FALSE),0),0)))),0))</f>
        <v>5200</v>
      </c>
      <c r="Y12" s="16">
        <v>5550</v>
      </c>
      <c r="Z12" s="17">
        <f>IF($B12&lt;&gt;"Ja",0,IF(AND(7&gt;=$J12,7&lt;=$K12),IF($I12="Monatlich",$L12*$M12*VLOOKUP(Stammdaten!$B$9,Stammdaten!$A$13:$C$15,IF($C12="Einnahme",2,3),FALSE),IF($I12="Quartalsweise",IF(MOD(7-$J12,3)=0,$L12*$M12*VLOOKUP(Stammdaten!$B$9,Stammdaten!$A$13:$C$15,IF($C12="Einnahme",2,3),FALSE),0),IF($I12="Halbjährlich",IF(MOD(7-$J12,6)=0,$L12*$M12*VLOOKUP(Stammdaten!$B$9,Stammdaten!$A$13:$C$15,IF($C12="Einnahme",2,3),FALSE),0),IF($I12="Einmalig",IF(7=$J12,$L12*$M12*VLOOKUP(Stammdaten!$B$9,Stammdaten!$A$13:$C$15,IF($C12="Einnahme",2,3),FALSE),0),0)))),0))</f>
        <v>5200</v>
      </c>
      <c r="AA12" s="16">
        <v>5000</v>
      </c>
      <c r="AB12" s="17">
        <f>IF($B12&lt;&gt;"Ja",0,IF(AND(8&gt;=$J12,8&lt;=$K12),IF($I12="Monatlich",$L12*$M12*VLOOKUP(Stammdaten!$B$9,Stammdaten!$A$13:$C$15,IF($C12="Einnahme",2,3),FALSE),IF($I12="Quartalsweise",IF(MOD(8-$J12,3)=0,$L12*$M12*VLOOKUP(Stammdaten!$B$9,Stammdaten!$A$13:$C$15,IF($C12="Einnahme",2,3),FALSE),0),IF($I12="Halbjährlich",IF(MOD(8-$J12,6)=0,$L12*$M12*VLOOKUP(Stammdaten!$B$9,Stammdaten!$A$13:$C$15,IF($C12="Einnahme",2,3),FALSE),0),IF($I12="Einmalig",IF(8=$J12,$L12*$M12*VLOOKUP(Stammdaten!$B$9,Stammdaten!$A$13:$C$15,IF($C12="Einnahme",2,3),FALSE),0),0)))),0))</f>
        <v>5200</v>
      </c>
      <c r="AC12" s="16">
        <v>5100</v>
      </c>
      <c r="AD12" s="17">
        <f>IF($B12&lt;&gt;"Ja",0,IF(AND(9&gt;=$J12,9&lt;=$K12),IF($I12="Monatlich",$L12*$M12*VLOOKUP(Stammdaten!$B$9,Stammdaten!$A$13:$C$15,IF($C12="Einnahme",2,3),FALSE),IF($I12="Quartalsweise",IF(MOD(9-$J12,3)=0,$L12*$M12*VLOOKUP(Stammdaten!$B$9,Stammdaten!$A$13:$C$15,IF($C12="Einnahme",2,3),FALSE),0),IF($I12="Halbjährlich",IF(MOD(9-$J12,6)=0,$L12*$M12*VLOOKUP(Stammdaten!$B$9,Stammdaten!$A$13:$C$15,IF($C12="Einnahme",2,3),FALSE),0),IF($I12="Einmalig",IF(9=$J12,$L12*$M12*VLOOKUP(Stammdaten!$B$9,Stammdaten!$A$13:$C$15,IF($C12="Einnahme",2,3),FALSE),0),0)))),0))</f>
        <v>5200</v>
      </c>
      <c r="AE12" s="16">
        <v>5700</v>
      </c>
      <c r="AF12" s="17">
        <f>IF($B12&lt;&gt;"Ja",0,IF(AND(10&gt;=$J12,10&lt;=$K12),IF($I12="Monatlich",$L12*$M12*VLOOKUP(Stammdaten!$B$9,Stammdaten!$A$13:$C$15,IF($C12="Einnahme",2,3),FALSE),IF($I12="Quartalsweise",IF(MOD(10-$J12,3)=0,$L12*$M12*VLOOKUP(Stammdaten!$B$9,Stammdaten!$A$13:$C$15,IF($C12="Einnahme",2,3),FALSE),0),IF($I12="Halbjährlich",IF(MOD(10-$J12,6)=0,$L12*$M12*VLOOKUP(Stammdaten!$B$9,Stammdaten!$A$13:$C$15,IF($C12="Einnahme",2,3),FALSE),0),IF($I12="Einmalig",IF(10=$J12,$L12*$M12*VLOOKUP(Stammdaten!$B$9,Stammdaten!$A$13:$C$15,IF($C12="Einnahme",2,3),FALSE),0),0)))),0))</f>
        <v>5200</v>
      </c>
      <c r="AG12" s="16">
        <v>5350</v>
      </c>
      <c r="AH12" s="17">
        <f>IF($B12&lt;&gt;"Ja",0,IF(AND(11&gt;=$J12,11&lt;=$K12),IF($I12="Monatlich",$L12*$M12*VLOOKUP(Stammdaten!$B$9,Stammdaten!$A$13:$C$15,IF($C12="Einnahme",2,3),FALSE),IF($I12="Quartalsweise",IF(MOD(11-$J12,3)=0,$L12*$M12*VLOOKUP(Stammdaten!$B$9,Stammdaten!$A$13:$C$15,IF($C12="Einnahme",2,3),FALSE),0),IF($I12="Halbjährlich",IF(MOD(11-$J12,6)=0,$L12*$M12*VLOOKUP(Stammdaten!$B$9,Stammdaten!$A$13:$C$15,IF($C12="Einnahme",2,3),FALSE),0),IF($I12="Einmalig",IF(11=$J12,$L12*$M12*VLOOKUP(Stammdaten!$B$9,Stammdaten!$A$13:$C$15,IF($C12="Einnahme",2,3),FALSE),0),0)))),0))</f>
        <v>5200</v>
      </c>
      <c r="AI12" s="16">
        <v>5750</v>
      </c>
      <c r="AJ12" s="17">
        <f>IF($B12&lt;&gt;"Ja",0,IF(AND(12&gt;=$J12,12&lt;=$K12),IF($I12="Monatlich",$L12*$M12*VLOOKUP(Stammdaten!$B$9,Stammdaten!$A$13:$C$15,IF($C12="Einnahme",2,3),FALSE),IF($I12="Quartalsweise",IF(MOD(12-$J12,3)=0,$L12*$M12*VLOOKUP(Stammdaten!$B$9,Stammdaten!$A$13:$C$15,IF($C12="Einnahme",2,3),FALSE),0),IF($I12="Halbjährlich",IF(MOD(12-$J12,6)=0,$L12*$M12*VLOOKUP(Stammdaten!$B$9,Stammdaten!$A$13:$C$15,IF($C12="Einnahme",2,3),FALSE),0),IF($I12="Einmalig",IF(12=$J12,$L12*$M12*VLOOKUP(Stammdaten!$B$9,Stammdaten!$A$13:$C$15,IF($C12="Einnahme",2,3),FALSE),0),0)))),0))</f>
        <v>5200</v>
      </c>
      <c r="AK12" s="16">
        <v>5600</v>
      </c>
      <c r="AL12" s="17">
        <f t="shared" si="0"/>
        <v>62400</v>
      </c>
      <c r="AM12" s="17">
        <f t="shared" si="1"/>
        <v>65000</v>
      </c>
      <c r="AN12" s="17">
        <f t="shared" si="2"/>
        <v>-2600</v>
      </c>
      <c r="AO12" s="18">
        <f t="shared" si="3"/>
        <v>-4.1666666666666664E-2</v>
      </c>
      <c r="AP12" s="19" t="str">
        <f>IF(AN12&gt;=0,"Besser/Im Soll",IF(ABS(AO12)&lt;=Stammdaten!$B$7,"Im Soll",IF(ABS(AO12)&lt;=Stammdaten!$B$8,"Prüfen","Kritisch")))</f>
        <v>Im Soll</v>
      </c>
      <c r="AQ12" s="17">
        <f t="shared" si="4"/>
        <v>2600</v>
      </c>
      <c r="AR12" s="14" t="s">
        <v>135</v>
      </c>
    </row>
    <row r="13" spans="1:44" x14ac:dyDescent="0.25">
      <c r="A13" s="14">
        <v>7</v>
      </c>
      <c r="B13" s="14" t="s">
        <v>100</v>
      </c>
      <c r="C13" s="14" t="s">
        <v>126</v>
      </c>
      <c r="D13" s="14" t="s">
        <v>136</v>
      </c>
      <c r="E13" s="14" t="s">
        <v>137</v>
      </c>
      <c r="F13" s="14" t="s">
        <v>136</v>
      </c>
      <c r="G13" s="14" t="s">
        <v>138</v>
      </c>
      <c r="H13" s="14" t="s">
        <v>139</v>
      </c>
      <c r="I13" s="14" t="s">
        <v>107</v>
      </c>
      <c r="J13" s="15">
        <v>1</v>
      </c>
      <c r="K13" s="15">
        <v>12</v>
      </c>
      <c r="L13" s="15">
        <v>1</v>
      </c>
      <c r="M13" s="16">
        <v>8500</v>
      </c>
      <c r="N13" s="17">
        <f>IF($B13&lt;&gt;"Ja",0,IF(AND(1&gt;=$J13,1&lt;=$K13),IF($I13="Monatlich",$L13*$M13*VLOOKUP(Stammdaten!$B$9,Stammdaten!$A$13:$C$15,IF($C13="Einnahme",2,3),FALSE),IF($I13="Quartalsweise",IF(MOD(1-$J13,3)=0,$L13*$M13*VLOOKUP(Stammdaten!$B$9,Stammdaten!$A$13:$C$15,IF($C13="Einnahme",2,3),FALSE),0),IF($I13="Halbjährlich",IF(MOD(1-$J13,6)=0,$L13*$M13*VLOOKUP(Stammdaten!$B$9,Stammdaten!$A$13:$C$15,IF($C13="Einnahme",2,3),FALSE),0),IF($I13="Einmalig",IF(1=$J13,$L13*$M13*VLOOKUP(Stammdaten!$B$9,Stammdaten!$A$13:$C$15,IF($C13="Einnahme",2,3),FALSE),0),0)))),0))</f>
        <v>8500</v>
      </c>
      <c r="O13" s="16">
        <v>9200</v>
      </c>
      <c r="P13" s="17">
        <f>IF($B13&lt;&gt;"Ja",0,IF(AND(2&gt;=$J13,2&lt;=$K13),IF($I13="Monatlich",$L13*$M13*VLOOKUP(Stammdaten!$B$9,Stammdaten!$A$13:$C$15,IF($C13="Einnahme",2,3),FALSE),IF($I13="Quartalsweise",IF(MOD(2-$J13,3)=0,$L13*$M13*VLOOKUP(Stammdaten!$B$9,Stammdaten!$A$13:$C$15,IF($C13="Einnahme",2,3),FALSE),0),IF($I13="Halbjährlich",IF(MOD(2-$J13,6)=0,$L13*$M13*VLOOKUP(Stammdaten!$B$9,Stammdaten!$A$13:$C$15,IF($C13="Einnahme",2,3),FALSE),0),IF($I13="Einmalig",IF(2=$J13,$L13*$M13*VLOOKUP(Stammdaten!$B$9,Stammdaten!$A$13:$C$15,IF($C13="Einnahme",2,3),FALSE),0),0)))),0))</f>
        <v>8500</v>
      </c>
      <c r="Q13" s="16">
        <v>8250</v>
      </c>
      <c r="R13" s="17">
        <f>IF($B13&lt;&gt;"Ja",0,IF(AND(3&gt;=$J13,3&lt;=$K13),IF($I13="Monatlich",$L13*$M13*VLOOKUP(Stammdaten!$B$9,Stammdaten!$A$13:$C$15,IF($C13="Einnahme",2,3),FALSE),IF($I13="Quartalsweise",IF(MOD(3-$J13,3)=0,$L13*$M13*VLOOKUP(Stammdaten!$B$9,Stammdaten!$A$13:$C$15,IF($C13="Einnahme",2,3),FALSE),0),IF($I13="Halbjährlich",IF(MOD(3-$J13,6)=0,$L13*$M13*VLOOKUP(Stammdaten!$B$9,Stammdaten!$A$13:$C$15,IF($C13="Einnahme",2,3),FALSE),0),IF($I13="Einmalig",IF(3=$J13,$L13*$M13*VLOOKUP(Stammdaten!$B$9,Stammdaten!$A$13:$C$15,IF($C13="Einnahme",2,3),FALSE),0),0)))),0))</f>
        <v>8500</v>
      </c>
      <c r="S13" s="16">
        <v>8550</v>
      </c>
      <c r="T13" s="17">
        <f>IF($B13&lt;&gt;"Ja",0,IF(AND(4&gt;=$J13,4&lt;=$K13),IF($I13="Monatlich",$L13*$M13*VLOOKUP(Stammdaten!$B$9,Stammdaten!$A$13:$C$15,IF($C13="Einnahme",2,3),FALSE),IF($I13="Quartalsweise",IF(MOD(4-$J13,3)=0,$L13*$M13*VLOOKUP(Stammdaten!$B$9,Stammdaten!$A$13:$C$15,IF($C13="Einnahme",2,3),FALSE),0),IF($I13="Halbjährlich",IF(MOD(4-$J13,6)=0,$L13*$M13*VLOOKUP(Stammdaten!$B$9,Stammdaten!$A$13:$C$15,IF($C13="Einnahme",2,3),FALSE),0),IF($I13="Einmalig",IF(4=$J13,$L13*$M13*VLOOKUP(Stammdaten!$B$9,Stammdaten!$A$13:$C$15,IF($C13="Einnahme",2,3),FALSE),0),0)))),0))</f>
        <v>8500</v>
      </c>
      <c r="U13" s="16">
        <v>9250</v>
      </c>
      <c r="V13" s="17">
        <f>IF($B13&lt;&gt;"Ja",0,IF(AND(5&gt;=$J13,5&lt;=$K13),IF($I13="Monatlich",$L13*$M13*VLOOKUP(Stammdaten!$B$9,Stammdaten!$A$13:$C$15,IF($C13="Einnahme",2,3),FALSE),IF($I13="Quartalsweise",IF(MOD(5-$J13,3)=0,$L13*$M13*VLOOKUP(Stammdaten!$B$9,Stammdaten!$A$13:$C$15,IF($C13="Einnahme",2,3),FALSE),0),IF($I13="Halbjährlich",IF(MOD(5-$J13,6)=0,$L13*$M13*VLOOKUP(Stammdaten!$B$9,Stammdaten!$A$13:$C$15,IF($C13="Einnahme",2,3),FALSE),0),IF($I13="Einmalig",IF(5=$J13,$L13*$M13*VLOOKUP(Stammdaten!$B$9,Stammdaten!$A$13:$C$15,IF($C13="Einnahme",2,3),FALSE),0),0)))),0))</f>
        <v>8500</v>
      </c>
      <c r="W13" s="16">
        <v>9150</v>
      </c>
      <c r="X13" s="17">
        <f>IF($B13&lt;&gt;"Ja",0,IF(AND(6&gt;=$J13,6&lt;=$K13),IF($I13="Monatlich",$L13*$M13*VLOOKUP(Stammdaten!$B$9,Stammdaten!$A$13:$C$15,IF($C13="Einnahme",2,3),FALSE),IF($I13="Quartalsweise",IF(MOD(6-$J13,3)=0,$L13*$M13*VLOOKUP(Stammdaten!$B$9,Stammdaten!$A$13:$C$15,IF($C13="Einnahme",2,3),FALSE),0),IF($I13="Halbjährlich",IF(MOD(6-$J13,6)=0,$L13*$M13*VLOOKUP(Stammdaten!$B$9,Stammdaten!$A$13:$C$15,IF($C13="Einnahme",2,3),FALSE),0),IF($I13="Einmalig",IF(6=$J13,$L13*$M13*VLOOKUP(Stammdaten!$B$9,Stammdaten!$A$13:$C$15,IF($C13="Einnahme",2,3),FALSE),0),0)))),0))</f>
        <v>8500</v>
      </c>
      <c r="Y13" s="16">
        <v>8050</v>
      </c>
      <c r="Z13" s="17">
        <f>IF($B13&lt;&gt;"Ja",0,IF(AND(7&gt;=$J13,7&lt;=$K13),IF($I13="Monatlich",$L13*$M13*VLOOKUP(Stammdaten!$B$9,Stammdaten!$A$13:$C$15,IF($C13="Einnahme",2,3),FALSE),IF($I13="Quartalsweise",IF(MOD(7-$J13,3)=0,$L13*$M13*VLOOKUP(Stammdaten!$B$9,Stammdaten!$A$13:$C$15,IF($C13="Einnahme",2,3),FALSE),0),IF($I13="Halbjährlich",IF(MOD(7-$J13,6)=0,$L13*$M13*VLOOKUP(Stammdaten!$B$9,Stammdaten!$A$13:$C$15,IF($C13="Einnahme",2,3),FALSE),0),IF($I13="Einmalig",IF(7=$J13,$L13*$M13*VLOOKUP(Stammdaten!$B$9,Stammdaten!$A$13:$C$15,IF($C13="Einnahme",2,3),FALSE),0),0)))),0))</f>
        <v>8500</v>
      </c>
      <c r="AA13" s="16">
        <v>9500</v>
      </c>
      <c r="AB13" s="17">
        <f>IF($B13&lt;&gt;"Ja",0,IF(AND(8&gt;=$J13,8&lt;=$K13),IF($I13="Monatlich",$L13*$M13*VLOOKUP(Stammdaten!$B$9,Stammdaten!$A$13:$C$15,IF($C13="Einnahme",2,3),FALSE),IF($I13="Quartalsweise",IF(MOD(8-$J13,3)=0,$L13*$M13*VLOOKUP(Stammdaten!$B$9,Stammdaten!$A$13:$C$15,IF($C13="Einnahme",2,3),FALSE),0),IF($I13="Halbjährlich",IF(MOD(8-$J13,6)=0,$L13*$M13*VLOOKUP(Stammdaten!$B$9,Stammdaten!$A$13:$C$15,IF($C13="Einnahme",2,3),FALSE),0),IF($I13="Einmalig",IF(8=$J13,$L13*$M13*VLOOKUP(Stammdaten!$B$9,Stammdaten!$A$13:$C$15,IF($C13="Einnahme",2,3),FALSE),0),0)))),0))</f>
        <v>8500</v>
      </c>
      <c r="AC13" s="16">
        <v>8950</v>
      </c>
      <c r="AD13" s="17">
        <f>IF($B13&lt;&gt;"Ja",0,IF(AND(9&gt;=$J13,9&lt;=$K13),IF($I13="Monatlich",$L13*$M13*VLOOKUP(Stammdaten!$B$9,Stammdaten!$A$13:$C$15,IF($C13="Einnahme",2,3),FALSE),IF($I13="Quartalsweise",IF(MOD(9-$J13,3)=0,$L13*$M13*VLOOKUP(Stammdaten!$B$9,Stammdaten!$A$13:$C$15,IF($C13="Einnahme",2,3),FALSE),0),IF($I13="Halbjährlich",IF(MOD(9-$J13,6)=0,$L13*$M13*VLOOKUP(Stammdaten!$B$9,Stammdaten!$A$13:$C$15,IF($C13="Einnahme",2,3),FALSE),0),IF($I13="Einmalig",IF(9=$J13,$L13*$M13*VLOOKUP(Stammdaten!$B$9,Stammdaten!$A$13:$C$15,IF($C13="Einnahme",2,3),FALSE),0),0)))),0))</f>
        <v>8500</v>
      </c>
      <c r="AE13" s="16">
        <v>8800</v>
      </c>
      <c r="AF13" s="17">
        <f>IF($B13&lt;&gt;"Ja",0,IF(AND(10&gt;=$J13,10&lt;=$K13),IF($I13="Monatlich",$L13*$M13*VLOOKUP(Stammdaten!$B$9,Stammdaten!$A$13:$C$15,IF($C13="Einnahme",2,3),FALSE),IF($I13="Quartalsweise",IF(MOD(10-$J13,3)=0,$L13*$M13*VLOOKUP(Stammdaten!$B$9,Stammdaten!$A$13:$C$15,IF($C13="Einnahme",2,3),FALSE),0),IF($I13="Halbjährlich",IF(MOD(10-$J13,6)=0,$L13*$M13*VLOOKUP(Stammdaten!$B$9,Stammdaten!$A$13:$C$15,IF($C13="Einnahme",2,3),FALSE),0),IF($I13="Einmalig",IF(10=$J13,$L13*$M13*VLOOKUP(Stammdaten!$B$9,Stammdaten!$A$13:$C$15,IF($C13="Einnahme",2,3),FALSE),0),0)))),0))</f>
        <v>8500</v>
      </c>
      <c r="AG13" s="16">
        <v>8850</v>
      </c>
      <c r="AH13" s="17">
        <f>IF($B13&lt;&gt;"Ja",0,IF(AND(11&gt;=$J13,11&lt;=$K13),IF($I13="Monatlich",$L13*$M13*VLOOKUP(Stammdaten!$B$9,Stammdaten!$A$13:$C$15,IF($C13="Einnahme",2,3),FALSE),IF($I13="Quartalsweise",IF(MOD(11-$J13,3)=0,$L13*$M13*VLOOKUP(Stammdaten!$B$9,Stammdaten!$A$13:$C$15,IF($C13="Einnahme",2,3),FALSE),0),IF($I13="Halbjährlich",IF(MOD(11-$J13,6)=0,$L13*$M13*VLOOKUP(Stammdaten!$B$9,Stammdaten!$A$13:$C$15,IF($C13="Einnahme",2,3),FALSE),0),IF($I13="Einmalig",IF(11=$J13,$L13*$M13*VLOOKUP(Stammdaten!$B$9,Stammdaten!$A$13:$C$15,IF($C13="Einnahme",2,3),FALSE),0),0)))),0))</f>
        <v>8500</v>
      </c>
      <c r="AI13" s="16">
        <v>8600</v>
      </c>
      <c r="AJ13" s="17">
        <f>IF($B13&lt;&gt;"Ja",0,IF(AND(12&gt;=$J13,12&lt;=$K13),IF($I13="Monatlich",$L13*$M13*VLOOKUP(Stammdaten!$B$9,Stammdaten!$A$13:$C$15,IF($C13="Einnahme",2,3),FALSE),IF($I13="Quartalsweise",IF(MOD(12-$J13,3)=0,$L13*$M13*VLOOKUP(Stammdaten!$B$9,Stammdaten!$A$13:$C$15,IF($C13="Einnahme",2,3),FALSE),0),IF($I13="Halbjährlich",IF(MOD(12-$J13,6)=0,$L13*$M13*VLOOKUP(Stammdaten!$B$9,Stammdaten!$A$13:$C$15,IF($C13="Einnahme",2,3),FALSE),0),IF($I13="Einmalig",IF(12=$J13,$L13*$M13*VLOOKUP(Stammdaten!$B$9,Stammdaten!$A$13:$C$15,IF($C13="Einnahme",2,3),FALSE),0),0)))),0))</f>
        <v>8500</v>
      </c>
      <c r="AK13" s="16">
        <v>8400</v>
      </c>
      <c r="AL13" s="17">
        <f t="shared" si="0"/>
        <v>102000</v>
      </c>
      <c r="AM13" s="17">
        <f t="shared" si="1"/>
        <v>105550</v>
      </c>
      <c r="AN13" s="17">
        <f t="shared" si="2"/>
        <v>-3550</v>
      </c>
      <c r="AO13" s="18">
        <f t="shared" si="3"/>
        <v>-3.4803921568627452E-2</v>
      </c>
      <c r="AP13" s="19" t="str">
        <f>IF(AN13&gt;=0,"Besser/Im Soll",IF(ABS(AO13)&lt;=Stammdaten!$B$7,"Im Soll",IF(ABS(AO13)&lt;=Stammdaten!$B$8,"Prüfen","Kritisch")))</f>
        <v>Im Soll</v>
      </c>
      <c r="AQ13" s="17">
        <f t="shared" si="4"/>
        <v>3550</v>
      </c>
      <c r="AR13" s="14" t="s">
        <v>140</v>
      </c>
    </row>
    <row r="14" spans="1:44" x14ac:dyDescent="0.25">
      <c r="A14" s="14">
        <v>8</v>
      </c>
      <c r="B14" s="14" t="s">
        <v>100</v>
      </c>
      <c r="C14" s="14" t="s">
        <v>126</v>
      </c>
      <c r="D14" s="14" t="s">
        <v>136</v>
      </c>
      <c r="E14" s="14" t="s">
        <v>141</v>
      </c>
      <c r="F14" s="14" t="s">
        <v>136</v>
      </c>
      <c r="G14" s="14" t="s">
        <v>142</v>
      </c>
      <c r="H14" s="14" t="s">
        <v>139</v>
      </c>
      <c r="I14" s="14" t="s">
        <v>124</v>
      </c>
      <c r="J14" s="15">
        <v>2</v>
      </c>
      <c r="K14" s="15">
        <v>11</v>
      </c>
      <c r="L14" s="15">
        <v>1</v>
      </c>
      <c r="M14" s="16">
        <v>14000</v>
      </c>
      <c r="N14" s="17">
        <f>IF($B14&lt;&gt;"Ja",0,IF(AND(1&gt;=$J14,1&lt;=$K14),IF($I14="Monatlich",$L14*$M14*VLOOKUP(Stammdaten!$B$9,Stammdaten!$A$13:$C$15,IF($C14="Einnahme",2,3),FALSE),IF($I14="Quartalsweise",IF(MOD(1-$J14,3)=0,$L14*$M14*VLOOKUP(Stammdaten!$B$9,Stammdaten!$A$13:$C$15,IF($C14="Einnahme",2,3),FALSE),0),IF($I14="Halbjährlich",IF(MOD(1-$J14,6)=0,$L14*$M14*VLOOKUP(Stammdaten!$B$9,Stammdaten!$A$13:$C$15,IF($C14="Einnahme",2,3),FALSE),0),IF($I14="Einmalig",IF(1=$J14,$L14*$M14*VLOOKUP(Stammdaten!$B$9,Stammdaten!$A$13:$C$15,IF($C14="Einnahme",2,3),FALSE),0),0)))),0))</f>
        <v>0</v>
      </c>
      <c r="O14" s="16">
        <v>0</v>
      </c>
      <c r="P14" s="17">
        <f>IF($B14&lt;&gt;"Ja",0,IF(AND(2&gt;=$J14,2&lt;=$K14),IF($I14="Monatlich",$L14*$M14*VLOOKUP(Stammdaten!$B$9,Stammdaten!$A$13:$C$15,IF($C14="Einnahme",2,3),FALSE),IF($I14="Quartalsweise",IF(MOD(2-$J14,3)=0,$L14*$M14*VLOOKUP(Stammdaten!$B$9,Stammdaten!$A$13:$C$15,IF($C14="Einnahme",2,3),FALSE),0),IF($I14="Halbjährlich",IF(MOD(2-$J14,6)=0,$L14*$M14*VLOOKUP(Stammdaten!$B$9,Stammdaten!$A$13:$C$15,IF($C14="Einnahme",2,3),FALSE),0),IF($I14="Einmalig",IF(2=$J14,$L14*$M14*VLOOKUP(Stammdaten!$B$9,Stammdaten!$A$13:$C$15,IF($C14="Einnahme",2,3),FALSE),0),0)))),0))</f>
        <v>14000</v>
      </c>
      <c r="Q14" s="16">
        <v>19000</v>
      </c>
      <c r="R14" s="17">
        <f>IF($B14&lt;&gt;"Ja",0,IF(AND(3&gt;=$J14,3&lt;=$K14),IF($I14="Monatlich",$L14*$M14*VLOOKUP(Stammdaten!$B$9,Stammdaten!$A$13:$C$15,IF($C14="Einnahme",2,3),FALSE),IF($I14="Quartalsweise",IF(MOD(3-$J14,3)=0,$L14*$M14*VLOOKUP(Stammdaten!$B$9,Stammdaten!$A$13:$C$15,IF($C14="Einnahme",2,3),FALSE),0),IF($I14="Halbjährlich",IF(MOD(3-$J14,6)=0,$L14*$M14*VLOOKUP(Stammdaten!$B$9,Stammdaten!$A$13:$C$15,IF($C14="Einnahme",2,3),FALSE),0),IF($I14="Einmalig",IF(3=$J14,$L14*$M14*VLOOKUP(Stammdaten!$B$9,Stammdaten!$A$13:$C$15,IF($C14="Einnahme",2,3),FALSE),0),0)))),0))</f>
        <v>0</v>
      </c>
      <c r="S14" s="16">
        <v>0</v>
      </c>
      <c r="T14" s="17">
        <f>IF($B14&lt;&gt;"Ja",0,IF(AND(4&gt;=$J14,4&lt;=$K14),IF($I14="Monatlich",$L14*$M14*VLOOKUP(Stammdaten!$B$9,Stammdaten!$A$13:$C$15,IF($C14="Einnahme",2,3),FALSE),IF($I14="Quartalsweise",IF(MOD(4-$J14,3)=0,$L14*$M14*VLOOKUP(Stammdaten!$B$9,Stammdaten!$A$13:$C$15,IF($C14="Einnahme",2,3),FALSE),0),IF($I14="Halbjährlich",IF(MOD(4-$J14,6)=0,$L14*$M14*VLOOKUP(Stammdaten!$B$9,Stammdaten!$A$13:$C$15,IF($C14="Einnahme",2,3),FALSE),0),IF($I14="Einmalig",IF(4=$J14,$L14*$M14*VLOOKUP(Stammdaten!$B$9,Stammdaten!$A$13:$C$15,IF($C14="Einnahme",2,3),FALSE),0),0)))),0))</f>
        <v>0</v>
      </c>
      <c r="U14" s="16">
        <v>0</v>
      </c>
      <c r="V14" s="17">
        <f>IF($B14&lt;&gt;"Ja",0,IF(AND(5&gt;=$J14,5&lt;=$K14),IF($I14="Monatlich",$L14*$M14*VLOOKUP(Stammdaten!$B$9,Stammdaten!$A$13:$C$15,IF($C14="Einnahme",2,3),FALSE),IF($I14="Quartalsweise",IF(MOD(5-$J14,3)=0,$L14*$M14*VLOOKUP(Stammdaten!$B$9,Stammdaten!$A$13:$C$15,IF($C14="Einnahme",2,3),FALSE),0),IF($I14="Halbjährlich",IF(MOD(5-$J14,6)=0,$L14*$M14*VLOOKUP(Stammdaten!$B$9,Stammdaten!$A$13:$C$15,IF($C14="Einnahme",2,3),FALSE),0),IF($I14="Einmalig",IF(5=$J14,$L14*$M14*VLOOKUP(Stammdaten!$B$9,Stammdaten!$A$13:$C$15,IF($C14="Einnahme",2,3),FALSE),0),0)))),0))</f>
        <v>14000</v>
      </c>
      <c r="W14" s="16">
        <v>19000</v>
      </c>
      <c r="X14" s="17">
        <f>IF($B14&lt;&gt;"Ja",0,IF(AND(6&gt;=$J14,6&lt;=$K14),IF($I14="Monatlich",$L14*$M14*VLOOKUP(Stammdaten!$B$9,Stammdaten!$A$13:$C$15,IF($C14="Einnahme",2,3),FALSE),IF($I14="Quartalsweise",IF(MOD(6-$J14,3)=0,$L14*$M14*VLOOKUP(Stammdaten!$B$9,Stammdaten!$A$13:$C$15,IF($C14="Einnahme",2,3),FALSE),0),IF($I14="Halbjährlich",IF(MOD(6-$J14,6)=0,$L14*$M14*VLOOKUP(Stammdaten!$B$9,Stammdaten!$A$13:$C$15,IF($C14="Einnahme",2,3),FALSE),0),IF($I14="Einmalig",IF(6=$J14,$L14*$M14*VLOOKUP(Stammdaten!$B$9,Stammdaten!$A$13:$C$15,IF($C14="Einnahme",2,3),FALSE),0),0)))),0))</f>
        <v>0</v>
      </c>
      <c r="Y14" s="16">
        <v>0</v>
      </c>
      <c r="Z14" s="17">
        <f>IF($B14&lt;&gt;"Ja",0,IF(AND(7&gt;=$J14,7&lt;=$K14),IF($I14="Monatlich",$L14*$M14*VLOOKUP(Stammdaten!$B$9,Stammdaten!$A$13:$C$15,IF($C14="Einnahme",2,3),FALSE),IF($I14="Quartalsweise",IF(MOD(7-$J14,3)=0,$L14*$M14*VLOOKUP(Stammdaten!$B$9,Stammdaten!$A$13:$C$15,IF($C14="Einnahme",2,3),FALSE),0),IF($I14="Halbjährlich",IF(MOD(7-$J14,6)=0,$L14*$M14*VLOOKUP(Stammdaten!$B$9,Stammdaten!$A$13:$C$15,IF($C14="Einnahme",2,3),FALSE),0),IF($I14="Einmalig",IF(7=$J14,$L14*$M14*VLOOKUP(Stammdaten!$B$9,Stammdaten!$A$13:$C$15,IF($C14="Einnahme",2,3),FALSE),0),0)))),0))</f>
        <v>0</v>
      </c>
      <c r="AA14" s="16">
        <v>0</v>
      </c>
      <c r="AB14" s="17">
        <f>IF($B14&lt;&gt;"Ja",0,IF(AND(8&gt;=$J14,8&lt;=$K14),IF($I14="Monatlich",$L14*$M14*VLOOKUP(Stammdaten!$B$9,Stammdaten!$A$13:$C$15,IF($C14="Einnahme",2,3),FALSE),IF($I14="Quartalsweise",IF(MOD(8-$J14,3)=0,$L14*$M14*VLOOKUP(Stammdaten!$B$9,Stammdaten!$A$13:$C$15,IF($C14="Einnahme",2,3),FALSE),0),IF($I14="Halbjährlich",IF(MOD(8-$J14,6)=0,$L14*$M14*VLOOKUP(Stammdaten!$B$9,Stammdaten!$A$13:$C$15,IF($C14="Einnahme",2,3),FALSE),0),IF($I14="Einmalig",IF(8=$J14,$L14*$M14*VLOOKUP(Stammdaten!$B$9,Stammdaten!$A$13:$C$15,IF($C14="Einnahme",2,3),FALSE),0),0)))),0))</f>
        <v>14000</v>
      </c>
      <c r="AC14" s="16">
        <v>19000</v>
      </c>
      <c r="AD14" s="17">
        <f>IF($B14&lt;&gt;"Ja",0,IF(AND(9&gt;=$J14,9&lt;=$K14),IF($I14="Monatlich",$L14*$M14*VLOOKUP(Stammdaten!$B$9,Stammdaten!$A$13:$C$15,IF($C14="Einnahme",2,3),FALSE),IF($I14="Quartalsweise",IF(MOD(9-$J14,3)=0,$L14*$M14*VLOOKUP(Stammdaten!$B$9,Stammdaten!$A$13:$C$15,IF($C14="Einnahme",2,3),FALSE),0),IF($I14="Halbjährlich",IF(MOD(9-$J14,6)=0,$L14*$M14*VLOOKUP(Stammdaten!$B$9,Stammdaten!$A$13:$C$15,IF($C14="Einnahme",2,3),FALSE),0),IF($I14="Einmalig",IF(9=$J14,$L14*$M14*VLOOKUP(Stammdaten!$B$9,Stammdaten!$A$13:$C$15,IF($C14="Einnahme",2,3),FALSE),0),0)))),0))</f>
        <v>0</v>
      </c>
      <c r="AE14" s="16">
        <v>0</v>
      </c>
      <c r="AF14" s="17">
        <f>IF($B14&lt;&gt;"Ja",0,IF(AND(10&gt;=$J14,10&lt;=$K14),IF($I14="Monatlich",$L14*$M14*VLOOKUP(Stammdaten!$B$9,Stammdaten!$A$13:$C$15,IF($C14="Einnahme",2,3),FALSE),IF($I14="Quartalsweise",IF(MOD(10-$J14,3)=0,$L14*$M14*VLOOKUP(Stammdaten!$B$9,Stammdaten!$A$13:$C$15,IF($C14="Einnahme",2,3),FALSE),0),IF($I14="Halbjährlich",IF(MOD(10-$J14,6)=0,$L14*$M14*VLOOKUP(Stammdaten!$B$9,Stammdaten!$A$13:$C$15,IF($C14="Einnahme",2,3),FALSE),0),IF($I14="Einmalig",IF(10=$J14,$L14*$M14*VLOOKUP(Stammdaten!$B$9,Stammdaten!$A$13:$C$15,IF($C14="Einnahme",2,3),FALSE),0),0)))),0))</f>
        <v>0</v>
      </c>
      <c r="AG14" s="16">
        <v>0</v>
      </c>
      <c r="AH14" s="17">
        <f>IF($B14&lt;&gt;"Ja",0,IF(AND(11&gt;=$J14,11&lt;=$K14),IF($I14="Monatlich",$L14*$M14*VLOOKUP(Stammdaten!$B$9,Stammdaten!$A$13:$C$15,IF($C14="Einnahme",2,3),FALSE),IF($I14="Quartalsweise",IF(MOD(11-$J14,3)=0,$L14*$M14*VLOOKUP(Stammdaten!$B$9,Stammdaten!$A$13:$C$15,IF($C14="Einnahme",2,3),FALSE),0),IF($I14="Halbjährlich",IF(MOD(11-$J14,6)=0,$L14*$M14*VLOOKUP(Stammdaten!$B$9,Stammdaten!$A$13:$C$15,IF($C14="Einnahme",2,3),FALSE),0),IF($I14="Einmalig",IF(11=$J14,$L14*$M14*VLOOKUP(Stammdaten!$B$9,Stammdaten!$A$13:$C$15,IF($C14="Einnahme",2,3),FALSE),0),0)))),0))</f>
        <v>14000</v>
      </c>
      <c r="AI14" s="16">
        <v>19000</v>
      </c>
      <c r="AJ14" s="17">
        <f>IF($B14&lt;&gt;"Ja",0,IF(AND(12&gt;=$J14,12&lt;=$K14),IF($I14="Monatlich",$L14*$M14*VLOOKUP(Stammdaten!$B$9,Stammdaten!$A$13:$C$15,IF($C14="Einnahme",2,3),FALSE),IF($I14="Quartalsweise",IF(MOD(12-$J14,3)=0,$L14*$M14*VLOOKUP(Stammdaten!$B$9,Stammdaten!$A$13:$C$15,IF($C14="Einnahme",2,3),FALSE),0),IF($I14="Halbjährlich",IF(MOD(12-$J14,6)=0,$L14*$M14*VLOOKUP(Stammdaten!$B$9,Stammdaten!$A$13:$C$15,IF($C14="Einnahme",2,3),FALSE),0),IF($I14="Einmalig",IF(12=$J14,$L14*$M14*VLOOKUP(Stammdaten!$B$9,Stammdaten!$A$13:$C$15,IF($C14="Einnahme",2,3),FALSE),0),0)))),0))</f>
        <v>0</v>
      </c>
      <c r="AK14" s="16">
        <v>0</v>
      </c>
      <c r="AL14" s="17">
        <f t="shared" si="0"/>
        <v>56000</v>
      </c>
      <c r="AM14" s="17">
        <f t="shared" si="1"/>
        <v>76000</v>
      </c>
      <c r="AN14" s="17">
        <f t="shared" si="2"/>
        <v>-20000</v>
      </c>
      <c r="AO14" s="18">
        <f t="shared" si="3"/>
        <v>-0.35714285714285715</v>
      </c>
      <c r="AP14" s="19" t="str">
        <f>IF(AN14&gt;=0,"Besser/Im Soll",IF(ABS(AO14)&lt;=Stammdaten!$B$7,"Im Soll",IF(ABS(AO14)&lt;=Stammdaten!$B$8,"Prüfen","Kritisch")))</f>
        <v>Kritisch</v>
      </c>
      <c r="AQ14" s="17">
        <f t="shared" si="4"/>
        <v>20000</v>
      </c>
      <c r="AR14" s="14" t="s">
        <v>143</v>
      </c>
    </row>
    <row r="15" spans="1:44" x14ac:dyDescent="0.25">
      <c r="A15" s="14">
        <v>9</v>
      </c>
      <c r="B15" s="14" t="s">
        <v>100</v>
      </c>
      <c r="C15" s="14" t="s">
        <v>126</v>
      </c>
      <c r="D15" s="14" t="s">
        <v>144</v>
      </c>
      <c r="E15" s="14" t="s">
        <v>145</v>
      </c>
      <c r="F15" s="14" t="s">
        <v>146</v>
      </c>
      <c r="G15" s="14" t="s">
        <v>147</v>
      </c>
      <c r="H15" s="14" t="s">
        <v>148</v>
      </c>
      <c r="I15" s="14" t="s">
        <v>107</v>
      </c>
      <c r="J15" s="15">
        <v>1</v>
      </c>
      <c r="K15" s="15">
        <v>12</v>
      </c>
      <c r="L15" s="15">
        <v>1</v>
      </c>
      <c r="M15" s="16">
        <v>4800</v>
      </c>
      <c r="N15" s="17">
        <f>IF($B15&lt;&gt;"Ja",0,IF(AND(1&gt;=$J15,1&lt;=$K15),IF($I15="Monatlich",$L15*$M15*VLOOKUP(Stammdaten!$B$9,Stammdaten!$A$13:$C$15,IF($C15="Einnahme",2,3),FALSE),IF($I15="Quartalsweise",IF(MOD(1-$J15,3)=0,$L15*$M15*VLOOKUP(Stammdaten!$B$9,Stammdaten!$A$13:$C$15,IF($C15="Einnahme",2,3),FALSE),0),IF($I15="Halbjährlich",IF(MOD(1-$J15,6)=0,$L15*$M15*VLOOKUP(Stammdaten!$B$9,Stammdaten!$A$13:$C$15,IF($C15="Einnahme",2,3),FALSE),0),IF($I15="Einmalig",IF(1=$J15,$L15*$M15*VLOOKUP(Stammdaten!$B$9,Stammdaten!$A$13:$C$15,IF($C15="Einnahme",2,3),FALSE),0),0)))),0))</f>
        <v>4800</v>
      </c>
      <c r="O15" s="16">
        <v>5200</v>
      </c>
      <c r="P15" s="17">
        <f>IF($B15&lt;&gt;"Ja",0,IF(AND(2&gt;=$J15,2&lt;=$K15),IF($I15="Monatlich",$L15*$M15*VLOOKUP(Stammdaten!$B$9,Stammdaten!$A$13:$C$15,IF($C15="Einnahme",2,3),FALSE),IF($I15="Quartalsweise",IF(MOD(2-$J15,3)=0,$L15*$M15*VLOOKUP(Stammdaten!$B$9,Stammdaten!$A$13:$C$15,IF($C15="Einnahme",2,3),FALSE),0),IF($I15="Halbjährlich",IF(MOD(2-$J15,6)=0,$L15*$M15*VLOOKUP(Stammdaten!$B$9,Stammdaten!$A$13:$C$15,IF($C15="Einnahme",2,3),FALSE),0),IF($I15="Einmalig",IF(2=$J15,$L15*$M15*VLOOKUP(Stammdaten!$B$9,Stammdaten!$A$13:$C$15,IF($C15="Einnahme",2,3),FALSE),0),0)))),0))</f>
        <v>4800</v>
      </c>
      <c r="Q15" s="16">
        <v>4850</v>
      </c>
      <c r="R15" s="17">
        <f>IF($B15&lt;&gt;"Ja",0,IF(AND(3&gt;=$J15,3&lt;=$K15),IF($I15="Monatlich",$L15*$M15*VLOOKUP(Stammdaten!$B$9,Stammdaten!$A$13:$C$15,IF($C15="Einnahme",2,3),FALSE),IF($I15="Quartalsweise",IF(MOD(3-$J15,3)=0,$L15*$M15*VLOOKUP(Stammdaten!$B$9,Stammdaten!$A$13:$C$15,IF($C15="Einnahme",2,3),FALSE),0),IF($I15="Halbjährlich",IF(MOD(3-$J15,6)=0,$L15*$M15*VLOOKUP(Stammdaten!$B$9,Stammdaten!$A$13:$C$15,IF($C15="Einnahme",2,3),FALSE),0),IF($I15="Einmalig",IF(3=$J15,$L15*$M15*VLOOKUP(Stammdaten!$B$9,Stammdaten!$A$13:$C$15,IF($C15="Einnahme",2,3),FALSE),0),0)))),0))</f>
        <v>4800</v>
      </c>
      <c r="S15" s="16">
        <v>5150</v>
      </c>
      <c r="T15" s="17">
        <f>IF($B15&lt;&gt;"Ja",0,IF(AND(4&gt;=$J15,4&lt;=$K15),IF($I15="Monatlich",$L15*$M15*VLOOKUP(Stammdaten!$B$9,Stammdaten!$A$13:$C$15,IF($C15="Einnahme",2,3),FALSE),IF($I15="Quartalsweise",IF(MOD(4-$J15,3)=0,$L15*$M15*VLOOKUP(Stammdaten!$B$9,Stammdaten!$A$13:$C$15,IF($C15="Einnahme",2,3),FALSE),0),IF($I15="Halbjährlich",IF(MOD(4-$J15,6)=0,$L15*$M15*VLOOKUP(Stammdaten!$B$9,Stammdaten!$A$13:$C$15,IF($C15="Einnahme",2,3),FALSE),0),IF($I15="Einmalig",IF(4=$J15,$L15*$M15*VLOOKUP(Stammdaten!$B$9,Stammdaten!$A$13:$C$15,IF($C15="Einnahme",2,3),FALSE),0),0)))),0))</f>
        <v>4800</v>
      </c>
      <c r="U15" s="16">
        <v>5100</v>
      </c>
      <c r="V15" s="17">
        <f>IF($B15&lt;&gt;"Ja",0,IF(AND(5&gt;=$J15,5&lt;=$K15),IF($I15="Monatlich",$L15*$M15*VLOOKUP(Stammdaten!$B$9,Stammdaten!$A$13:$C$15,IF($C15="Einnahme",2,3),FALSE),IF($I15="Quartalsweise",IF(MOD(5-$J15,3)=0,$L15*$M15*VLOOKUP(Stammdaten!$B$9,Stammdaten!$A$13:$C$15,IF($C15="Einnahme",2,3),FALSE),0),IF($I15="Halbjährlich",IF(MOD(5-$J15,6)=0,$L15*$M15*VLOOKUP(Stammdaten!$B$9,Stammdaten!$A$13:$C$15,IF($C15="Einnahme",2,3),FALSE),0),IF($I15="Einmalig",IF(5=$J15,$L15*$M15*VLOOKUP(Stammdaten!$B$9,Stammdaten!$A$13:$C$15,IF($C15="Einnahme",2,3),FALSE),0),0)))),0))</f>
        <v>4800</v>
      </c>
      <c r="W15" s="16">
        <v>4900</v>
      </c>
      <c r="X15" s="17">
        <f>IF($B15&lt;&gt;"Ja",0,IF(AND(6&gt;=$J15,6&lt;=$K15),IF($I15="Monatlich",$L15*$M15*VLOOKUP(Stammdaten!$B$9,Stammdaten!$A$13:$C$15,IF($C15="Einnahme",2,3),FALSE),IF($I15="Quartalsweise",IF(MOD(6-$J15,3)=0,$L15*$M15*VLOOKUP(Stammdaten!$B$9,Stammdaten!$A$13:$C$15,IF($C15="Einnahme",2,3),FALSE),0),IF($I15="Halbjährlich",IF(MOD(6-$J15,6)=0,$L15*$M15*VLOOKUP(Stammdaten!$B$9,Stammdaten!$A$13:$C$15,IF($C15="Einnahme",2,3),FALSE),0),IF($I15="Einmalig",IF(6=$J15,$L15*$M15*VLOOKUP(Stammdaten!$B$9,Stammdaten!$A$13:$C$15,IF($C15="Einnahme",2,3),FALSE),0),0)))),0))</f>
        <v>4800</v>
      </c>
      <c r="Y15" s="16">
        <v>4800</v>
      </c>
      <c r="Z15" s="17">
        <f>IF($B15&lt;&gt;"Ja",0,IF(AND(7&gt;=$J15,7&lt;=$K15),IF($I15="Monatlich",$L15*$M15*VLOOKUP(Stammdaten!$B$9,Stammdaten!$A$13:$C$15,IF($C15="Einnahme",2,3),FALSE),IF($I15="Quartalsweise",IF(MOD(7-$J15,3)=0,$L15*$M15*VLOOKUP(Stammdaten!$B$9,Stammdaten!$A$13:$C$15,IF($C15="Einnahme",2,3),FALSE),0),IF($I15="Halbjährlich",IF(MOD(7-$J15,6)=0,$L15*$M15*VLOOKUP(Stammdaten!$B$9,Stammdaten!$A$13:$C$15,IF($C15="Einnahme",2,3),FALSE),0),IF($I15="Einmalig",IF(7=$J15,$L15*$M15*VLOOKUP(Stammdaten!$B$9,Stammdaten!$A$13:$C$15,IF($C15="Einnahme",2,3),FALSE),0),0)))),0))</f>
        <v>4800</v>
      </c>
      <c r="AA15" s="16">
        <v>4850</v>
      </c>
      <c r="AB15" s="17">
        <f>IF($B15&lt;&gt;"Ja",0,IF(AND(8&gt;=$J15,8&lt;=$K15),IF($I15="Monatlich",$L15*$M15*VLOOKUP(Stammdaten!$B$9,Stammdaten!$A$13:$C$15,IF($C15="Einnahme",2,3),FALSE),IF($I15="Quartalsweise",IF(MOD(8-$J15,3)=0,$L15*$M15*VLOOKUP(Stammdaten!$B$9,Stammdaten!$A$13:$C$15,IF($C15="Einnahme",2,3),FALSE),0),IF($I15="Halbjährlich",IF(MOD(8-$J15,6)=0,$L15*$M15*VLOOKUP(Stammdaten!$B$9,Stammdaten!$A$13:$C$15,IF($C15="Einnahme",2,3),FALSE),0),IF($I15="Einmalig",IF(8=$J15,$L15*$M15*VLOOKUP(Stammdaten!$B$9,Stammdaten!$A$13:$C$15,IF($C15="Einnahme",2,3),FALSE),0),0)))),0))</f>
        <v>4800</v>
      </c>
      <c r="AC15" s="16">
        <v>5000</v>
      </c>
      <c r="AD15" s="17">
        <f>IF($B15&lt;&gt;"Ja",0,IF(AND(9&gt;=$J15,9&lt;=$K15),IF($I15="Monatlich",$L15*$M15*VLOOKUP(Stammdaten!$B$9,Stammdaten!$A$13:$C$15,IF($C15="Einnahme",2,3),FALSE),IF($I15="Quartalsweise",IF(MOD(9-$J15,3)=0,$L15*$M15*VLOOKUP(Stammdaten!$B$9,Stammdaten!$A$13:$C$15,IF($C15="Einnahme",2,3),FALSE),0),IF($I15="Halbjährlich",IF(MOD(9-$J15,6)=0,$L15*$M15*VLOOKUP(Stammdaten!$B$9,Stammdaten!$A$13:$C$15,IF($C15="Einnahme",2,3),FALSE),0),IF($I15="Einmalig",IF(9=$J15,$L15*$M15*VLOOKUP(Stammdaten!$B$9,Stammdaten!$A$13:$C$15,IF($C15="Einnahme",2,3),FALSE),0),0)))),0))</f>
        <v>4800</v>
      </c>
      <c r="AE15" s="16">
        <v>5100</v>
      </c>
      <c r="AF15" s="17">
        <f>IF($B15&lt;&gt;"Ja",0,IF(AND(10&gt;=$J15,10&lt;=$K15),IF($I15="Monatlich",$L15*$M15*VLOOKUP(Stammdaten!$B$9,Stammdaten!$A$13:$C$15,IF($C15="Einnahme",2,3),FALSE),IF($I15="Quartalsweise",IF(MOD(10-$J15,3)=0,$L15*$M15*VLOOKUP(Stammdaten!$B$9,Stammdaten!$A$13:$C$15,IF($C15="Einnahme",2,3),FALSE),0),IF($I15="Halbjährlich",IF(MOD(10-$J15,6)=0,$L15*$M15*VLOOKUP(Stammdaten!$B$9,Stammdaten!$A$13:$C$15,IF($C15="Einnahme",2,3),FALSE),0),IF($I15="Einmalig",IF(10=$J15,$L15*$M15*VLOOKUP(Stammdaten!$B$9,Stammdaten!$A$13:$C$15,IF($C15="Einnahme",2,3),FALSE),0),0)))),0))</f>
        <v>4800</v>
      </c>
      <c r="AG15" s="16">
        <v>4950</v>
      </c>
      <c r="AH15" s="17">
        <f>IF($B15&lt;&gt;"Ja",0,IF(AND(11&gt;=$J15,11&lt;=$K15),IF($I15="Monatlich",$L15*$M15*VLOOKUP(Stammdaten!$B$9,Stammdaten!$A$13:$C$15,IF($C15="Einnahme",2,3),FALSE),IF($I15="Quartalsweise",IF(MOD(11-$J15,3)=0,$L15*$M15*VLOOKUP(Stammdaten!$B$9,Stammdaten!$A$13:$C$15,IF($C15="Einnahme",2,3),FALSE),0),IF($I15="Halbjährlich",IF(MOD(11-$J15,6)=0,$L15*$M15*VLOOKUP(Stammdaten!$B$9,Stammdaten!$A$13:$C$15,IF($C15="Einnahme",2,3),FALSE),0),IF($I15="Einmalig",IF(11=$J15,$L15*$M15*VLOOKUP(Stammdaten!$B$9,Stammdaten!$A$13:$C$15,IF($C15="Einnahme",2,3),FALSE),0),0)))),0))</f>
        <v>4800</v>
      </c>
      <c r="AI15" s="16">
        <v>4550</v>
      </c>
      <c r="AJ15" s="17">
        <f>IF($B15&lt;&gt;"Ja",0,IF(AND(12&gt;=$J15,12&lt;=$K15),IF($I15="Monatlich",$L15*$M15*VLOOKUP(Stammdaten!$B$9,Stammdaten!$A$13:$C$15,IF($C15="Einnahme",2,3),FALSE),IF($I15="Quartalsweise",IF(MOD(12-$J15,3)=0,$L15*$M15*VLOOKUP(Stammdaten!$B$9,Stammdaten!$A$13:$C$15,IF($C15="Einnahme",2,3),FALSE),0),IF($I15="Halbjährlich",IF(MOD(12-$J15,6)=0,$L15*$M15*VLOOKUP(Stammdaten!$B$9,Stammdaten!$A$13:$C$15,IF($C15="Einnahme",2,3),FALSE),0),IF($I15="Einmalig",IF(12=$J15,$L15*$M15*VLOOKUP(Stammdaten!$B$9,Stammdaten!$A$13:$C$15,IF($C15="Einnahme",2,3),FALSE),0),0)))),0))</f>
        <v>4800</v>
      </c>
      <c r="AK15" s="16">
        <v>4850</v>
      </c>
      <c r="AL15" s="17">
        <f t="shared" si="0"/>
        <v>57600</v>
      </c>
      <c r="AM15" s="17">
        <f t="shared" si="1"/>
        <v>59300</v>
      </c>
      <c r="AN15" s="17">
        <f t="shared" si="2"/>
        <v>-1700</v>
      </c>
      <c r="AO15" s="18">
        <f t="shared" si="3"/>
        <v>-2.9513888888888888E-2</v>
      </c>
      <c r="AP15" s="19" t="str">
        <f>IF(AN15&gt;=0,"Besser/Im Soll",IF(ABS(AO15)&lt;=Stammdaten!$B$7,"Im Soll",IF(ABS(AO15)&lt;=Stammdaten!$B$8,"Prüfen","Kritisch")))</f>
        <v>Im Soll</v>
      </c>
      <c r="AQ15" s="17">
        <f t="shared" si="4"/>
        <v>1700</v>
      </c>
      <c r="AR15" s="14" t="s">
        <v>149</v>
      </c>
    </row>
    <row r="16" spans="1:44" x14ac:dyDescent="0.25">
      <c r="A16" s="14">
        <v>10</v>
      </c>
      <c r="B16" s="14" t="s">
        <v>100</v>
      </c>
      <c r="C16" s="14" t="s">
        <v>126</v>
      </c>
      <c r="D16" s="14" t="s">
        <v>150</v>
      </c>
      <c r="E16" s="14" t="s">
        <v>151</v>
      </c>
      <c r="F16" s="14" t="s">
        <v>152</v>
      </c>
      <c r="G16" s="14" t="s">
        <v>153</v>
      </c>
      <c r="H16" s="14" t="s">
        <v>117</v>
      </c>
      <c r="I16" s="14" t="s">
        <v>107</v>
      </c>
      <c r="J16" s="15">
        <v>1</v>
      </c>
      <c r="K16" s="15">
        <v>12</v>
      </c>
      <c r="L16" s="15">
        <v>1</v>
      </c>
      <c r="M16" s="16">
        <v>3200</v>
      </c>
      <c r="N16" s="17">
        <f>IF($B16&lt;&gt;"Ja",0,IF(AND(1&gt;=$J16,1&lt;=$K16),IF($I16="Monatlich",$L16*$M16*VLOOKUP(Stammdaten!$B$9,Stammdaten!$A$13:$C$15,IF($C16="Einnahme",2,3),FALSE),IF($I16="Quartalsweise",IF(MOD(1-$J16,3)=0,$L16*$M16*VLOOKUP(Stammdaten!$B$9,Stammdaten!$A$13:$C$15,IF($C16="Einnahme",2,3),FALSE),0),IF($I16="Halbjährlich",IF(MOD(1-$J16,6)=0,$L16*$M16*VLOOKUP(Stammdaten!$B$9,Stammdaten!$A$13:$C$15,IF($C16="Einnahme",2,3),FALSE),0),IF($I16="Einmalig",IF(1=$J16,$L16*$M16*VLOOKUP(Stammdaten!$B$9,Stammdaten!$A$13:$C$15,IF($C16="Einnahme",2,3),FALSE),0),0)))),0))</f>
        <v>3200</v>
      </c>
      <c r="O16" s="16">
        <v>3100</v>
      </c>
      <c r="P16" s="17">
        <f>IF($B16&lt;&gt;"Ja",0,IF(AND(2&gt;=$J16,2&lt;=$K16),IF($I16="Monatlich",$L16*$M16*VLOOKUP(Stammdaten!$B$9,Stammdaten!$A$13:$C$15,IF($C16="Einnahme",2,3),FALSE),IF($I16="Quartalsweise",IF(MOD(2-$J16,3)=0,$L16*$M16*VLOOKUP(Stammdaten!$B$9,Stammdaten!$A$13:$C$15,IF($C16="Einnahme",2,3),FALSE),0),IF($I16="Halbjährlich",IF(MOD(2-$J16,6)=0,$L16*$M16*VLOOKUP(Stammdaten!$B$9,Stammdaten!$A$13:$C$15,IF($C16="Einnahme",2,3),FALSE),0),IF($I16="Einmalig",IF(2=$J16,$L16*$M16*VLOOKUP(Stammdaten!$B$9,Stammdaten!$A$13:$C$15,IF($C16="Einnahme",2,3),FALSE),0),0)))),0))</f>
        <v>3200</v>
      </c>
      <c r="Q16" s="16">
        <v>3150</v>
      </c>
      <c r="R16" s="17">
        <f>IF($B16&lt;&gt;"Ja",0,IF(AND(3&gt;=$J16,3&lt;=$K16),IF($I16="Monatlich",$L16*$M16*VLOOKUP(Stammdaten!$B$9,Stammdaten!$A$13:$C$15,IF($C16="Einnahme",2,3),FALSE),IF($I16="Quartalsweise",IF(MOD(3-$J16,3)=0,$L16*$M16*VLOOKUP(Stammdaten!$B$9,Stammdaten!$A$13:$C$15,IF($C16="Einnahme",2,3),FALSE),0),IF($I16="Halbjährlich",IF(MOD(3-$J16,6)=0,$L16*$M16*VLOOKUP(Stammdaten!$B$9,Stammdaten!$A$13:$C$15,IF($C16="Einnahme",2,3),FALSE),0),IF($I16="Einmalig",IF(3=$J16,$L16*$M16*VLOOKUP(Stammdaten!$B$9,Stammdaten!$A$13:$C$15,IF($C16="Einnahme",2,3),FALSE),0),0)))),0))</f>
        <v>3200</v>
      </c>
      <c r="S16" s="16">
        <v>3600</v>
      </c>
      <c r="T16" s="17">
        <f>IF($B16&lt;&gt;"Ja",0,IF(AND(4&gt;=$J16,4&lt;=$K16),IF($I16="Monatlich",$L16*$M16*VLOOKUP(Stammdaten!$B$9,Stammdaten!$A$13:$C$15,IF($C16="Einnahme",2,3),FALSE),IF($I16="Quartalsweise",IF(MOD(4-$J16,3)=0,$L16*$M16*VLOOKUP(Stammdaten!$B$9,Stammdaten!$A$13:$C$15,IF($C16="Einnahme",2,3),FALSE),0),IF($I16="Halbjährlich",IF(MOD(4-$J16,6)=0,$L16*$M16*VLOOKUP(Stammdaten!$B$9,Stammdaten!$A$13:$C$15,IF($C16="Einnahme",2,3),FALSE),0),IF($I16="Einmalig",IF(4=$J16,$L16*$M16*VLOOKUP(Stammdaten!$B$9,Stammdaten!$A$13:$C$15,IF($C16="Einnahme",2,3),FALSE),0),0)))),0))</f>
        <v>3200</v>
      </c>
      <c r="U16" s="16">
        <v>3450</v>
      </c>
      <c r="V16" s="17">
        <f>IF($B16&lt;&gt;"Ja",0,IF(AND(5&gt;=$J16,5&lt;=$K16),IF($I16="Monatlich",$L16*$M16*VLOOKUP(Stammdaten!$B$9,Stammdaten!$A$13:$C$15,IF($C16="Einnahme",2,3),FALSE),IF($I16="Quartalsweise",IF(MOD(5-$J16,3)=0,$L16*$M16*VLOOKUP(Stammdaten!$B$9,Stammdaten!$A$13:$C$15,IF($C16="Einnahme",2,3),FALSE),0),IF($I16="Halbjährlich",IF(MOD(5-$J16,6)=0,$L16*$M16*VLOOKUP(Stammdaten!$B$9,Stammdaten!$A$13:$C$15,IF($C16="Einnahme",2,3),FALSE),0),IF($I16="Einmalig",IF(5=$J16,$L16*$M16*VLOOKUP(Stammdaten!$B$9,Stammdaten!$A$13:$C$15,IF($C16="Einnahme",2,3),FALSE),0),0)))),0))</f>
        <v>3200</v>
      </c>
      <c r="W16" s="16">
        <v>3850</v>
      </c>
      <c r="X16" s="17">
        <f>IF($B16&lt;&gt;"Ja",0,IF(AND(6&gt;=$J16,6&lt;=$K16),IF($I16="Monatlich",$L16*$M16*VLOOKUP(Stammdaten!$B$9,Stammdaten!$A$13:$C$15,IF($C16="Einnahme",2,3),FALSE),IF($I16="Quartalsweise",IF(MOD(6-$J16,3)=0,$L16*$M16*VLOOKUP(Stammdaten!$B$9,Stammdaten!$A$13:$C$15,IF($C16="Einnahme",2,3),FALSE),0),IF($I16="Halbjährlich",IF(MOD(6-$J16,6)=0,$L16*$M16*VLOOKUP(Stammdaten!$B$9,Stammdaten!$A$13:$C$15,IF($C16="Einnahme",2,3),FALSE),0),IF($I16="Einmalig",IF(6=$J16,$L16*$M16*VLOOKUP(Stammdaten!$B$9,Stammdaten!$A$13:$C$15,IF($C16="Einnahme",2,3),FALSE),0),0)))),0))</f>
        <v>3200</v>
      </c>
      <c r="Y16" s="16">
        <v>3400</v>
      </c>
      <c r="Z16" s="17">
        <f>IF($B16&lt;&gt;"Ja",0,IF(AND(7&gt;=$J16,7&lt;=$K16),IF($I16="Monatlich",$L16*$M16*VLOOKUP(Stammdaten!$B$9,Stammdaten!$A$13:$C$15,IF($C16="Einnahme",2,3),FALSE),IF($I16="Quartalsweise",IF(MOD(7-$J16,3)=0,$L16*$M16*VLOOKUP(Stammdaten!$B$9,Stammdaten!$A$13:$C$15,IF($C16="Einnahme",2,3),FALSE),0),IF($I16="Halbjährlich",IF(MOD(7-$J16,6)=0,$L16*$M16*VLOOKUP(Stammdaten!$B$9,Stammdaten!$A$13:$C$15,IF($C16="Einnahme",2,3),FALSE),0),IF($I16="Einmalig",IF(7=$J16,$L16*$M16*VLOOKUP(Stammdaten!$B$9,Stammdaten!$A$13:$C$15,IF($C16="Einnahme",2,3),FALSE),0),0)))),0))</f>
        <v>3200</v>
      </c>
      <c r="AA16" s="16">
        <v>3200</v>
      </c>
      <c r="AB16" s="17">
        <f>IF($B16&lt;&gt;"Ja",0,IF(AND(8&gt;=$J16,8&lt;=$K16),IF($I16="Monatlich",$L16*$M16*VLOOKUP(Stammdaten!$B$9,Stammdaten!$A$13:$C$15,IF($C16="Einnahme",2,3),FALSE),IF($I16="Quartalsweise",IF(MOD(8-$J16,3)=0,$L16*$M16*VLOOKUP(Stammdaten!$B$9,Stammdaten!$A$13:$C$15,IF($C16="Einnahme",2,3),FALSE),0),IF($I16="Halbjährlich",IF(MOD(8-$J16,6)=0,$L16*$M16*VLOOKUP(Stammdaten!$B$9,Stammdaten!$A$13:$C$15,IF($C16="Einnahme",2,3),FALSE),0),IF($I16="Einmalig",IF(8=$J16,$L16*$M16*VLOOKUP(Stammdaten!$B$9,Stammdaten!$A$13:$C$15,IF($C16="Einnahme",2,3),FALSE),0),0)))),0))</f>
        <v>3200</v>
      </c>
      <c r="AC16" s="16">
        <v>3350</v>
      </c>
      <c r="AD16" s="17">
        <f>IF($B16&lt;&gt;"Ja",0,IF(AND(9&gt;=$J16,9&lt;=$K16),IF($I16="Monatlich",$L16*$M16*VLOOKUP(Stammdaten!$B$9,Stammdaten!$A$13:$C$15,IF($C16="Einnahme",2,3),FALSE),IF($I16="Quartalsweise",IF(MOD(9-$J16,3)=0,$L16*$M16*VLOOKUP(Stammdaten!$B$9,Stammdaten!$A$13:$C$15,IF($C16="Einnahme",2,3),FALSE),0),IF($I16="Halbjährlich",IF(MOD(9-$J16,6)=0,$L16*$M16*VLOOKUP(Stammdaten!$B$9,Stammdaten!$A$13:$C$15,IF($C16="Einnahme",2,3),FALSE),0),IF($I16="Einmalig",IF(9=$J16,$L16*$M16*VLOOKUP(Stammdaten!$B$9,Stammdaten!$A$13:$C$15,IF($C16="Einnahme",2,3),FALSE),0),0)))),0))</f>
        <v>3200</v>
      </c>
      <c r="AE16" s="16">
        <v>3400</v>
      </c>
      <c r="AF16" s="17">
        <f>IF($B16&lt;&gt;"Ja",0,IF(AND(10&gt;=$J16,10&lt;=$K16),IF($I16="Monatlich",$L16*$M16*VLOOKUP(Stammdaten!$B$9,Stammdaten!$A$13:$C$15,IF($C16="Einnahme",2,3),FALSE),IF($I16="Quartalsweise",IF(MOD(10-$J16,3)=0,$L16*$M16*VLOOKUP(Stammdaten!$B$9,Stammdaten!$A$13:$C$15,IF($C16="Einnahme",2,3),FALSE),0),IF($I16="Halbjährlich",IF(MOD(10-$J16,6)=0,$L16*$M16*VLOOKUP(Stammdaten!$B$9,Stammdaten!$A$13:$C$15,IF($C16="Einnahme",2,3),FALSE),0),IF($I16="Einmalig",IF(10=$J16,$L16*$M16*VLOOKUP(Stammdaten!$B$9,Stammdaten!$A$13:$C$15,IF($C16="Einnahme",2,3),FALSE),0),0)))),0))</f>
        <v>3200</v>
      </c>
      <c r="AG16" s="16">
        <v>3450</v>
      </c>
      <c r="AH16" s="17">
        <f>IF($B16&lt;&gt;"Ja",0,IF(AND(11&gt;=$J16,11&lt;=$K16),IF($I16="Monatlich",$L16*$M16*VLOOKUP(Stammdaten!$B$9,Stammdaten!$A$13:$C$15,IF($C16="Einnahme",2,3),FALSE),IF($I16="Quartalsweise",IF(MOD(11-$J16,3)=0,$L16*$M16*VLOOKUP(Stammdaten!$B$9,Stammdaten!$A$13:$C$15,IF($C16="Einnahme",2,3),FALSE),0),IF($I16="Halbjährlich",IF(MOD(11-$J16,6)=0,$L16*$M16*VLOOKUP(Stammdaten!$B$9,Stammdaten!$A$13:$C$15,IF($C16="Einnahme",2,3),FALSE),0),IF($I16="Einmalig",IF(11=$J16,$L16*$M16*VLOOKUP(Stammdaten!$B$9,Stammdaten!$A$13:$C$15,IF($C16="Einnahme",2,3),FALSE),0),0)))),0))</f>
        <v>3200</v>
      </c>
      <c r="AI16" s="16">
        <v>3250</v>
      </c>
      <c r="AJ16" s="17">
        <f>IF($B16&lt;&gt;"Ja",0,IF(AND(12&gt;=$J16,12&lt;=$K16),IF($I16="Monatlich",$L16*$M16*VLOOKUP(Stammdaten!$B$9,Stammdaten!$A$13:$C$15,IF($C16="Einnahme",2,3),FALSE),IF($I16="Quartalsweise",IF(MOD(12-$J16,3)=0,$L16*$M16*VLOOKUP(Stammdaten!$B$9,Stammdaten!$A$13:$C$15,IF($C16="Einnahme",2,3),FALSE),0),IF($I16="Halbjährlich",IF(MOD(12-$J16,6)=0,$L16*$M16*VLOOKUP(Stammdaten!$B$9,Stammdaten!$A$13:$C$15,IF($C16="Einnahme",2,3),FALSE),0),IF($I16="Einmalig",IF(12=$J16,$L16*$M16*VLOOKUP(Stammdaten!$B$9,Stammdaten!$A$13:$C$15,IF($C16="Einnahme",2,3),FALSE),0),0)))),0))</f>
        <v>3200</v>
      </c>
      <c r="AK16" s="16">
        <v>3500</v>
      </c>
      <c r="AL16" s="17">
        <f t="shared" si="0"/>
        <v>38400</v>
      </c>
      <c r="AM16" s="17">
        <f t="shared" si="1"/>
        <v>40700</v>
      </c>
      <c r="AN16" s="17">
        <f t="shared" si="2"/>
        <v>-2300</v>
      </c>
      <c r="AO16" s="18">
        <f t="shared" si="3"/>
        <v>-5.9895833333333336E-2</v>
      </c>
      <c r="AP16" s="19" t="str">
        <f>IF(AN16&gt;=0,"Besser/Im Soll",IF(ABS(AO16)&lt;=Stammdaten!$B$7,"Im Soll",IF(ABS(AO16)&lt;=Stammdaten!$B$8,"Prüfen","Kritisch")))</f>
        <v>Im Soll</v>
      </c>
      <c r="AQ16" s="17">
        <f t="shared" si="4"/>
        <v>2300</v>
      </c>
      <c r="AR16" s="14" t="s">
        <v>154</v>
      </c>
    </row>
    <row r="17" spans="1:44" ht="30" x14ac:dyDescent="0.25">
      <c r="A17" s="14">
        <v>11</v>
      </c>
      <c r="B17" s="14" t="s">
        <v>100</v>
      </c>
      <c r="C17" s="14" t="s">
        <v>126</v>
      </c>
      <c r="D17" s="14" t="s">
        <v>155</v>
      </c>
      <c r="E17" s="14" t="s">
        <v>156</v>
      </c>
      <c r="F17" s="14" t="s">
        <v>157</v>
      </c>
      <c r="G17" s="14" t="s">
        <v>158</v>
      </c>
      <c r="H17" s="14" t="s">
        <v>131</v>
      </c>
      <c r="I17" s="14" t="s">
        <v>107</v>
      </c>
      <c r="J17" s="15">
        <v>1</v>
      </c>
      <c r="K17" s="15">
        <v>10</v>
      </c>
      <c r="L17" s="15">
        <v>1</v>
      </c>
      <c r="M17" s="16">
        <v>6800</v>
      </c>
      <c r="N17" s="17">
        <f>IF($B17&lt;&gt;"Ja",0,IF(AND(1&gt;=$J17,1&lt;=$K17),IF($I17="Monatlich",$L17*$M17*VLOOKUP(Stammdaten!$B$9,Stammdaten!$A$13:$C$15,IF($C17="Einnahme",2,3),FALSE),IF($I17="Quartalsweise",IF(MOD(1-$J17,3)=0,$L17*$M17*VLOOKUP(Stammdaten!$B$9,Stammdaten!$A$13:$C$15,IF($C17="Einnahme",2,3),FALSE),0),IF($I17="Halbjährlich",IF(MOD(1-$J17,6)=0,$L17*$M17*VLOOKUP(Stammdaten!$B$9,Stammdaten!$A$13:$C$15,IF($C17="Einnahme",2,3),FALSE),0),IF($I17="Einmalig",IF(1=$J17,$L17*$M17*VLOOKUP(Stammdaten!$B$9,Stammdaten!$A$13:$C$15,IF($C17="Einnahme",2,3),FALSE),0),0)))),0))</f>
        <v>6800</v>
      </c>
      <c r="O17" s="16">
        <v>6400</v>
      </c>
      <c r="P17" s="17">
        <f>IF($B17&lt;&gt;"Ja",0,IF(AND(2&gt;=$J17,2&lt;=$K17),IF($I17="Monatlich",$L17*$M17*VLOOKUP(Stammdaten!$B$9,Stammdaten!$A$13:$C$15,IF($C17="Einnahme",2,3),FALSE),IF($I17="Quartalsweise",IF(MOD(2-$J17,3)=0,$L17*$M17*VLOOKUP(Stammdaten!$B$9,Stammdaten!$A$13:$C$15,IF($C17="Einnahme",2,3),FALSE),0),IF($I17="Halbjährlich",IF(MOD(2-$J17,6)=0,$L17*$M17*VLOOKUP(Stammdaten!$B$9,Stammdaten!$A$13:$C$15,IF($C17="Einnahme",2,3),FALSE),0),IF($I17="Einmalig",IF(2=$J17,$L17*$M17*VLOOKUP(Stammdaten!$B$9,Stammdaten!$A$13:$C$15,IF($C17="Einnahme",2,3),FALSE),0),0)))),0))</f>
        <v>6800</v>
      </c>
      <c r="Q17" s="16">
        <v>6450</v>
      </c>
      <c r="R17" s="17">
        <f>IF($B17&lt;&gt;"Ja",0,IF(AND(3&gt;=$J17,3&lt;=$K17),IF($I17="Monatlich",$L17*$M17*VLOOKUP(Stammdaten!$B$9,Stammdaten!$A$13:$C$15,IF($C17="Einnahme",2,3),FALSE),IF($I17="Quartalsweise",IF(MOD(3-$J17,3)=0,$L17*$M17*VLOOKUP(Stammdaten!$B$9,Stammdaten!$A$13:$C$15,IF($C17="Einnahme",2,3),FALSE),0),IF($I17="Halbjährlich",IF(MOD(3-$J17,6)=0,$L17*$M17*VLOOKUP(Stammdaten!$B$9,Stammdaten!$A$13:$C$15,IF($C17="Einnahme",2,3),FALSE),0),IF($I17="Einmalig",IF(3=$J17,$L17*$M17*VLOOKUP(Stammdaten!$B$9,Stammdaten!$A$13:$C$15,IF($C17="Einnahme",2,3),FALSE),0),0)))),0))</f>
        <v>6800</v>
      </c>
      <c r="S17" s="16">
        <v>7150</v>
      </c>
      <c r="T17" s="17">
        <f>IF($B17&lt;&gt;"Ja",0,IF(AND(4&gt;=$J17,4&lt;=$K17),IF($I17="Monatlich",$L17*$M17*VLOOKUP(Stammdaten!$B$9,Stammdaten!$A$13:$C$15,IF($C17="Einnahme",2,3),FALSE),IF($I17="Quartalsweise",IF(MOD(4-$J17,3)=0,$L17*$M17*VLOOKUP(Stammdaten!$B$9,Stammdaten!$A$13:$C$15,IF($C17="Einnahme",2,3),FALSE),0),IF($I17="Halbjährlich",IF(MOD(4-$J17,6)=0,$L17*$M17*VLOOKUP(Stammdaten!$B$9,Stammdaten!$A$13:$C$15,IF($C17="Einnahme",2,3),FALSE),0),IF($I17="Einmalig",IF(4=$J17,$L17*$M17*VLOOKUP(Stammdaten!$B$9,Stammdaten!$A$13:$C$15,IF($C17="Einnahme",2,3),FALSE),0),0)))),0))</f>
        <v>6800</v>
      </c>
      <c r="U17" s="16">
        <v>7050</v>
      </c>
      <c r="V17" s="17">
        <f>IF($B17&lt;&gt;"Ja",0,IF(AND(5&gt;=$J17,5&lt;=$K17),IF($I17="Monatlich",$L17*$M17*VLOOKUP(Stammdaten!$B$9,Stammdaten!$A$13:$C$15,IF($C17="Einnahme",2,3),FALSE),IF($I17="Quartalsweise",IF(MOD(5-$J17,3)=0,$L17*$M17*VLOOKUP(Stammdaten!$B$9,Stammdaten!$A$13:$C$15,IF($C17="Einnahme",2,3),FALSE),0),IF($I17="Halbjährlich",IF(MOD(5-$J17,6)=0,$L17*$M17*VLOOKUP(Stammdaten!$B$9,Stammdaten!$A$13:$C$15,IF($C17="Einnahme",2,3),FALSE),0),IF($I17="Einmalig",IF(5=$J17,$L17*$M17*VLOOKUP(Stammdaten!$B$9,Stammdaten!$A$13:$C$15,IF($C17="Einnahme",2,3),FALSE),0),0)))),0))</f>
        <v>6800</v>
      </c>
      <c r="W17" s="16">
        <v>6850</v>
      </c>
      <c r="X17" s="17">
        <f>IF($B17&lt;&gt;"Ja",0,IF(AND(6&gt;=$J17,6&lt;=$K17),IF($I17="Monatlich",$L17*$M17*VLOOKUP(Stammdaten!$B$9,Stammdaten!$A$13:$C$15,IF($C17="Einnahme",2,3),FALSE),IF($I17="Quartalsweise",IF(MOD(6-$J17,3)=0,$L17*$M17*VLOOKUP(Stammdaten!$B$9,Stammdaten!$A$13:$C$15,IF($C17="Einnahme",2,3),FALSE),0),IF($I17="Halbjährlich",IF(MOD(6-$J17,6)=0,$L17*$M17*VLOOKUP(Stammdaten!$B$9,Stammdaten!$A$13:$C$15,IF($C17="Einnahme",2,3),FALSE),0),IF($I17="Einmalig",IF(6=$J17,$L17*$M17*VLOOKUP(Stammdaten!$B$9,Stammdaten!$A$13:$C$15,IF($C17="Einnahme",2,3),FALSE),0),0)))),0))</f>
        <v>6800</v>
      </c>
      <c r="Y17" s="16">
        <v>6800</v>
      </c>
      <c r="Z17" s="17">
        <f>IF($B17&lt;&gt;"Ja",0,IF(AND(7&gt;=$J17,7&lt;=$K17),IF($I17="Monatlich",$L17*$M17*VLOOKUP(Stammdaten!$B$9,Stammdaten!$A$13:$C$15,IF($C17="Einnahme",2,3),FALSE),IF($I17="Quartalsweise",IF(MOD(7-$J17,3)=0,$L17*$M17*VLOOKUP(Stammdaten!$B$9,Stammdaten!$A$13:$C$15,IF($C17="Einnahme",2,3),FALSE),0),IF($I17="Halbjährlich",IF(MOD(7-$J17,6)=0,$L17*$M17*VLOOKUP(Stammdaten!$B$9,Stammdaten!$A$13:$C$15,IF($C17="Einnahme",2,3),FALSE),0),IF($I17="Einmalig",IF(7=$J17,$L17*$M17*VLOOKUP(Stammdaten!$B$9,Stammdaten!$A$13:$C$15,IF($C17="Einnahme",2,3),FALSE),0),0)))),0))</f>
        <v>6800</v>
      </c>
      <c r="AA17" s="16">
        <v>7150</v>
      </c>
      <c r="AB17" s="17">
        <f>IF($B17&lt;&gt;"Ja",0,IF(AND(8&gt;=$J17,8&lt;=$K17),IF($I17="Monatlich",$L17*$M17*VLOOKUP(Stammdaten!$B$9,Stammdaten!$A$13:$C$15,IF($C17="Einnahme",2,3),FALSE),IF($I17="Quartalsweise",IF(MOD(8-$J17,3)=0,$L17*$M17*VLOOKUP(Stammdaten!$B$9,Stammdaten!$A$13:$C$15,IF($C17="Einnahme",2,3),FALSE),0),IF($I17="Halbjährlich",IF(MOD(8-$J17,6)=0,$L17*$M17*VLOOKUP(Stammdaten!$B$9,Stammdaten!$A$13:$C$15,IF($C17="Einnahme",2,3),FALSE),0),IF($I17="Einmalig",IF(8=$J17,$L17*$M17*VLOOKUP(Stammdaten!$B$9,Stammdaten!$A$13:$C$15,IF($C17="Einnahme",2,3),FALSE),0),0)))),0))</f>
        <v>6800</v>
      </c>
      <c r="AC17" s="16">
        <v>6700</v>
      </c>
      <c r="AD17" s="17">
        <f>IF($B17&lt;&gt;"Ja",0,IF(AND(9&gt;=$J17,9&lt;=$K17),IF($I17="Monatlich",$L17*$M17*VLOOKUP(Stammdaten!$B$9,Stammdaten!$A$13:$C$15,IF($C17="Einnahme",2,3),FALSE),IF($I17="Quartalsweise",IF(MOD(9-$J17,3)=0,$L17*$M17*VLOOKUP(Stammdaten!$B$9,Stammdaten!$A$13:$C$15,IF($C17="Einnahme",2,3),FALSE),0),IF($I17="Halbjährlich",IF(MOD(9-$J17,6)=0,$L17*$M17*VLOOKUP(Stammdaten!$B$9,Stammdaten!$A$13:$C$15,IF($C17="Einnahme",2,3),FALSE),0),IF($I17="Einmalig",IF(9=$J17,$L17*$M17*VLOOKUP(Stammdaten!$B$9,Stammdaten!$A$13:$C$15,IF($C17="Einnahme",2,3),FALSE),0),0)))),0))</f>
        <v>6800</v>
      </c>
      <c r="AE17" s="16">
        <v>7500</v>
      </c>
      <c r="AF17" s="17">
        <f>IF($B17&lt;&gt;"Ja",0,IF(AND(10&gt;=$J17,10&lt;=$K17),IF($I17="Monatlich",$L17*$M17*VLOOKUP(Stammdaten!$B$9,Stammdaten!$A$13:$C$15,IF($C17="Einnahme",2,3),FALSE),IF($I17="Quartalsweise",IF(MOD(10-$J17,3)=0,$L17*$M17*VLOOKUP(Stammdaten!$B$9,Stammdaten!$A$13:$C$15,IF($C17="Einnahme",2,3),FALSE),0),IF($I17="Halbjährlich",IF(MOD(10-$J17,6)=0,$L17*$M17*VLOOKUP(Stammdaten!$B$9,Stammdaten!$A$13:$C$15,IF($C17="Einnahme",2,3),FALSE),0),IF($I17="Einmalig",IF(10=$J17,$L17*$M17*VLOOKUP(Stammdaten!$B$9,Stammdaten!$A$13:$C$15,IF($C17="Einnahme",2,3),FALSE),0),0)))),0))</f>
        <v>6800</v>
      </c>
      <c r="AG17" s="16">
        <v>6650</v>
      </c>
      <c r="AH17" s="17">
        <f>IF($B17&lt;&gt;"Ja",0,IF(AND(11&gt;=$J17,11&lt;=$K17),IF($I17="Monatlich",$L17*$M17*VLOOKUP(Stammdaten!$B$9,Stammdaten!$A$13:$C$15,IF($C17="Einnahme",2,3),FALSE),IF($I17="Quartalsweise",IF(MOD(11-$J17,3)=0,$L17*$M17*VLOOKUP(Stammdaten!$B$9,Stammdaten!$A$13:$C$15,IF($C17="Einnahme",2,3),FALSE),0),IF($I17="Halbjährlich",IF(MOD(11-$J17,6)=0,$L17*$M17*VLOOKUP(Stammdaten!$B$9,Stammdaten!$A$13:$C$15,IF($C17="Einnahme",2,3),FALSE),0),IF($I17="Einmalig",IF(11=$J17,$L17*$M17*VLOOKUP(Stammdaten!$B$9,Stammdaten!$A$13:$C$15,IF($C17="Einnahme",2,3),FALSE),0),0)))),0))</f>
        <v>0</v>
      </c>
      <c r="AI17" s="16">
        <v>0</v>
      </c>
      <c r="AJ17" s="17">
        <f>IF($B17&lt;&gt;"Ja",0,IF(AND(12&gt;=$J17,12&lt;=$K17),IF($I17="Monatlich",$L17*$M17*VLOOKUP(Stammdaten!$B$9,Stammdaten!$A$13:$C$15,IF($C17="Einnahme",2,3),FALSE),IF($I17="Quartalsweise",IF(MOD(12-$J17,3)=0,$L17*$M17*VLOOKUP(Stammdaten!$B$9,Stammdaten!$A$13:$C$15,IF($C17="Einnahme",2,3),FALSE),0),IF($I17="Halbjährlich",IF(MOD(12-$J17,6)=0,$L17*$M17*VLOOKUP(Stammdaten!$B$9,Stammdaten!$A$13:$C$15,IF($C17="Einnahme",2,3),FALSE),0),IF($I17="Einmalig",IF(12=$J17,$L17*$M17*VLOOKUP(Stammdaten!$B$9,Stammdaten!$A$13:$C$15,IF($C17="Einnahme",2,3),FALSE),0),0)))),0))</f>
        <v>0</v>
      </c>
      <c r="AK17" s="16">
        <v>0</v>
      </c>
      <c r="AL17" s="17">
        <f t="shared" si="0"/>
        <v>68000</v>
      </c>
      <c r="AM17" s="17">
        <f t="shared" si="1"/>
        <v>68700</v>
      </c>
      <c r="AN17" s="17">
        <f t="shared" si="2"/>
        <v>-700</v>
      </c>
      <c r="AO17" s="18">
        <f t="shared" si="3"/>
        <v>-1.0294117647058823E-2</v>
      </c>
      <c r="AP17" s="19" t="str">
        <f>IF(AN17&gt;=0,"Besser/Im Soll",IF(ABS(AO17)&lt;=Stammdaten!$B$7,"Im Soll",IF(ABS(AO17)&lt;=Stammdaten!$B$8,"Prüfen","Kritisch")))</f>
        <v>Im Soll</v>
      </c>
      <c r="AQ17" s="17">
        <f t="shared" si="4"/>
        <v>700</v>
      </c>
      <c r="AR17" s="14" t="s">
        <v>159</v>
      </c>
    </row>
    <row r="18" spans="1:44" x14ac:dyDescent="0.25">
      <c r="A18" s="14">
        <v>12</v>
      </c>
      <c r="B18" s="14" t="s">
        <v>100</v>
      </c>
      <c r="C18" s="14" t="s">
        <v>126</v>
      </c>
      <c r="D18" s="14" t="s">
        <v>150</v>
      </c>
      <c r="E18" s="14" t="s">
        <v>160</v>
      </c>
      <c r="F18" s="14" t="s">
        <v>152</v>
      </c>
      <c r="G18" s="14" t="s">
        <v>161</v>
      </c>
      <c r="H18" s="14" t="s">
        <v>117</v>
      </c>
      <c r="I18" s="14" t="s">
        <v>107</v>
      </c>
      <c r="J18" s="15">
        <v>1</v>
      </c>
      <c r="K18" s="15">
        <v>12</v>
      </c>
      <c r="L18" s="15">
        <v>1</v>
      </c>
      <c r="M18" s="16">
        <v>2300</v>
      </c>
      <c r="N18" s="17">
        <f>IF($B18&lt;&gt;"Ja",0,IF(AND(1&gt;=$J18,1&lt;=$K18),IF($I18="Monatlich",$L18*$M18*VLOOKUP(Stammdaten!$B$9,Stammdaten!$A$13:$C$15,IF($C18="Einnahme",2,3),FALSE),IF($I18="Quartalsweise",IF(MOD(1-$J18,3)=0,$L18*$M18*VLOOKUP(Stammdaten!$B$9,Stammdaten!$A$13:$C$15,IF($C18="Einnahme",2,3),FALSE),0),IF($I18="Halbjährlich",IF(MOD(1-$J18,6)=0,$L18*$M18*VLOOKUP(Stammdaten!$B$9,Stammdaten!$A$13:$C$15,IF($C18="Einnahme",2,3),FALSE),0),IF($I18="Einmalig",IF(1=$J18,$L18*$M18*VLOOKUP(Stammdaten!$B$9,Stammdaten!$A$13:$C$15,IF($C18="Einnahme",2,3),FALSE),0),0)))),0))</f>
        <v>2300</v>
      </c>
      <c r="O18" s="16">
        <v>2400</v>
      </c>
      <c r="P18" s="17">
        <f>IF($B18&lt;&gt;"Ja",0,IF(AND(2&gt;=$J18,2&lt;=$K18),IF($I18="Monatlich",$L18*$M18*VLOOKUP(Stammdaten!$B$9,Stammdaten!$A$13:$C$15,IF($C18="Einnahme",2,3),FALSE),IF($I18="Quartalsweise",IF(MOD(2-$J18,3)=0,$L18*$M18*VLOOKUP(Stammdaten!$B$9,Stammdaten!$A$13:$C$15,IF($C18="Einnahme",2,3),FALSE),0),IF($I18="Halbjährlich",IF(MOD(2-$J18,6)=0,$L18*$M18*VLOOKUP(Stammdaten!$B$9,Stammdaten!$A$13:$C$15,IF($C18="Einnahme",2,3),FALSE),0),IF($I18="Einmalig",IF(2=$J18,$L18*$M18*VLOOKUP(Stammdaten!$B$9,Stammdaten!$A$13:$C$15,IF($C18="Einnahme",2,3),FALSE),0),0)))),0))</f>
        <v>2300</v>
      </c>
      <c r="Q18" s="16">
        <v>2500</v>
      </c>
      <c r="R18" s="17">
        <f>IF($B18&lt;&gt;"Ja",0,IF(AND(3&gt;=$J18,3&lt;=$K18),IF($I18="Monatlich",$L18*$M18*VLOOKUP(Stammdaten!$B$9,Stammdaten!$A$13:$C$15,IF($C18="Einnahme",2,3),FALSE),IF($I18="Quartalsweise",IF(MOD(3-$J18,3)=0,$L18*$M18*VLOOKUP(Stammdaten!$B$9,Stammdaten!$A$13:$C$15,IF($C18="Einnahme",2,3),FALSE),0),IF($I18="Halbjährlich",IF(MOD(3-$J18,6)=0,$L18*$M18*VLOOKUP(Stammdaten!$B$9,Stammdaten!$A$13:$C$15,IF($C18="Einnahme",2,3),FALSE),0),IF($I18="Einmalig",IF(3=$J18,$L18*$M18*VLOOKUP(Stammdaten!$B$9,Stammdaten!$A$13:$C$15,IF($C18="Einnahme",2,3),FALSE),0),0)))),0))</f>
        <v>2300</v>
      </c>
      <c r="S18" s="16">
        <v>2300</v>
      </c>
      <c r="T18" s="17">
        <f>IF($B18&lt;&gt;"Ja",0,IF(AND(4&gt;=$J18,4&lt;=$K18),IF($I18="Monatlich",$L18*$M18*VLOOKUP(Stammdaten!$B$9,Stammdaten!$A$13:$C$15,IF($C18="Einnahme",2,3),FALSE),IF($I18="Quartalsweise",IF(MOD(4-$J18,3)=0,$L18*$M18*VLOOKUP(Stammdaten!$B$9,Stammdaten!$A$13:$C$15,IF($C18="Einnahme",2,3),FALSE),0),IF($I18="Halbjährlich",IF(MOD(4-$J18,6)=0,$L18*$M18*VLOOKUP(Stammdaten!$B$9,Stammdaten!$A$13:$C$15,IF($C18="Einnahme",2,3),FALSE),0),IF($I18="Einmalig",IF(4=$J18,$L18*$M18*VLOOKUP(Stammdaten!$B$9,Stammdaten!$A$13:$C$15,IF($C18="Einnahme",2,3),FALSE),0),0)))),0))</f>
        <v>2300</v>
      </c>
      <c r="U18" s="16">
        <v>2300</v>
      </c>
      <c r="V18" s="17">
        <f>IF($B18&lt;&gt;"Ja",0,IF(AND(5&gt;=$J18,5&lt;=$K18),IF($I18="Monatlich",$L18*$M18*VLOOKUP(Stammdaten!$B$9,Stammdaten!$A$13:$C$15,IF($C18="Einnahme",2,3),FALSE),IF($I18="Quartalsweise",IF(MOD(5-$J18,3)=0,$L18*$M18*VLOOKUP(Stammdaten!$B$9,Stammdaten!$A$13:$C$15,IF($C18="Einnahme",2,3),FALSE),0),IF($I18="Halbjährlich",IF(MOD(5-$J18,6)=0,$L18*$M18*VLOOKUP(Stammdaten!$B$9,Stammdaten!$A$13:$C$15,IF($C18="Einnahme",2,3),FALSE),0),IF($I18="Einmalig",IF(5=$J18,$L18*$M18*VLOOKUP(Stammdaten!$B$9,Stammdaten!$A$13:$C$15,IF($C18="Einnahme",2,3),FALSE),0),0)))),0))</f>
        <v>2300</v>
      </c>
      <c r="W18" s="16">
        <v>2250</v>
      </c>
      <c r="X18" s="17">
        <f>IF($B18&lt;&gt;"Ja",0,IF(AND(6&gt;=$J18,6&lt;=$K18),IF($I18="Monatlich",$L18*$M18*VLOOKUP(Stammdaten!$B$9,Stammdaten!$A$13:$C$15,IF($C18="Einnahme",2,3),FALSE),IF($I18="Quartalsweise",IF(MOD(6-$J18,3)=0,$L18*$M18*VLOOKUP(Stammdaten!$B$9,Stammdaten!$A$13:$C$15,IF($C18="Einnahme",2,3),FALSE),0),IF($I18="Halbjährlich",IF(MOD(6-$J18,6)=0,$L18*$M18*VLOOKUP(Stammdaten!$B$9,Stammdaten!$A$13:$C$15,IF($C18="Einnahme",2,3),FALSE),0),IF($I18="Einmalig",IF(6=$J18,$L18*$M18*VLOOKUP(Stammdaten!$B$9,Stammdaten!$A$13:$C$15,IF($C18="Einnahme",2,3),FALSE),0),0)))),0))</f>
        <v>2300</v>
      </c>
      <c r="Y18" s="16">
        <v>2450</v>
      </c>
      <c r="Z18" s="17">
        <f>IF($B18&lt;&gt;"Ja",0,IF(AND(7&gt;=$J18,7&lt;=$K18),IF($I18="Monatlich",$L18*$M18*VLOOKUP(Stammdaten!$B$9,Stammdaten!$A$13:$C$15,IF($C18="Einnahme",2,3),FALSE),IF($I18="Quartalsweise",IF(MOD(7-$J18,3)=0,$L18*$M18*VLOOKUP(Stammdaten!$B$9,Stammdaten!$A$13:$C$15,IF($C18="Einnahme",2,3),FALSE),0),IF($I18="Halbjährlich",IF(MOD(7-$J18,6)=0,$L18*$M18*VLOOKUP(Stammdaten!$B$9,Stammdaten!$A$13:$C$15,IF($C18="Einnahme",2,3),FALSE),0),IF($I18="Einmalig",IF(7=$J18,$L18*$M18*VLOOKUP(Stammdaten!$B$9,Stammdaten!$A$13:$C$15,IF($C18="Einnahme",2,3),FALSE),0),0)))),0))</f>
        <v>2300</v>
      </c>
      <c r="AA18" s="16">
        <v>2450</v>
      </c>
      <c r="AB18" s="17">
        <f>IF($B18&lt;&gt;"Ja",0,IF(AND(8&gt;=$J18,8&lt;=$K18),IF($I18="Monatlich",$L18*$M18*VLOOKUP(Stammdaten!$B$9,Stammdaten!$A$13:$C$15,IF($C18="Einnahme",2,3),FALSE),IF($I18="Quartalsweise",IF(MOD(8-$J18,3)=0,$L18*$M18*VLOOKUP(Stammdaten!$B$9,Stammdaten!$A$13:$C$15,IF($C18="Einnahme",2,3),FALSE),0),IF($I18="Halbjährlich",IF(MOD(8-$J18,6)=0,$L18*$M18*VLOOKUP(Stammdaten!$B$9,Stammdaten!$A$13:$C$15,IF($C18="Einnahme",2,3),FALSE),0),IF($I18="Einmalig",IF(8=$J18,$L18*$M18*VLOOKUP(Stammdaten!$B$9,Stammdaten!$A$13:$C$15,IF($C18="Einnahme",2,3),FALSE),0),0)))),0))</f>
        <v>2300</v>
      </c>
      <c r="AC18" s="16">
        <v>2250</v>
      </c>
      <c r="AD18" s="17">
        <f>IF($B18&lt;&gt;"Ja",0,IF(AND(9&gt;=$J18,9&lt;=$K18),IF($I18="Monatlich",$L18*$M18*VLOOKUP(Stammdaten!$B$9,Stammdaten!$A$13:$C$15,IF($C18="Einnahme",2,3),FALSE),IF($I18="Quartalsweise",IF(MOD(9-$J18,3)=0,$L18*$M18*VLOOKUP(Stammdaten!$B$9,Stammdaten!$A$13:$C$15,IF($C18="Einnahme",2,3),FALSE),0),IF($I18="Halbjährlich",IF(MOD(9-$J18,6)=0,$L18*$M18*VLOOKUP(Stammdaten!$B$9,Stammdaten!$A$13:$C$15,IF($C18="Einnahme",2,3),FALSE),0),IF($I18="Einmalig",IF(9=$J18,$L18*$M18*VLOOKUP(Stammdaten!$B$9,Stammdaten!$A$13:$C$15,IF($C18="Einnahme",2,3),FALSE),0),0)))),0))</f>
        <v>2300</v>
      </c>
      <c r="AE18" s="16">
        <v>2200</v>
      </c>
      <c r="AF18" s="17">
        <f>IF($B18&lt;&gt;"Ja",0,IF(AND(10&gt;=$J18,10&lt;=$K18),IF($I18="Monatlich",$L18*$M18*VLOOKUP(Stammdaten!$B$9,Stammdaten!$A$13:$C$15,IF($C18="Einnahme",2,3),FALSE),IF($I18="Quartalsweise",IF(MOD(10-$J18,3)=0,$L18*$M18*VLOOKUP(Stammdaten!$B$9,Stammdaten!$A$13:$C$15,IF($C18="Einnahme",2,3),FALSE),0),IF($I18="Halbjährlich",IF(MOD(10-$J18,6)=0,$L18*$M18*VLOOKUP(Stammdaten!$B$9,Stammdaten!$A$13:$C$15,IF($C18="Einnahme",2,3),FALSE),0),IF($I18="Einmalig",IF(10=$J18,$L18*$M18*VLOOKUP(Stammdaten!$B$9,Stammdaten!$A$13:$C$15,IF($C18="Einnahme",2,3),FALSE),0),0)))),0))</f>
        <v>2300</v>
      </c>
      <c r="AG18" s="16">
        <v>2350</v>
      </c>
      <c r="AH18" s="17">
        <f>IF($B18&lt;&gt;"Ja",0,IF(AND(11&gt;=$J18,11&lt;=$K18),IF($I18="Monatlich",$L18*$M18*VLOOKUP(Stammdaten!$B$9,Stammdaten!$A$13:$C$15,IF($C18="Einnahme",2,3),FALSE),IF($I18="Quartalsweise",IF(MOD(11-$J18,3)=0,$L18*$M18*VLOOKUP(Stammdaten!$B$9,Stammdaten!$A$13:$C$15,IF($C18="Einnahme",2,3),FALSE),0),IF($I18="Halbjährlich",IF(MOD(11-$J18,6)=0,$L18*$M18*VLOOKUP(Stammdaten!$B$9,Stammdaten!$A$13:$C$15,IF($C18="Einnahme",2,3),FALSE),0),IF($I18="Einmalig",IF(11=$J18,$L18*$M18*VLOOKUP(Stammdaten!$B$9,Stammdaten!$A$13:$C$15,IF($C18="Einnahme",2,3),FALSE),0),0)))),0))</f>
        <v>2300</v>
      </c>
      <c r="AI18" s="16">
        <v>2300</v>
      </c>
      <c r="AJ18" s="17">
        <f>IF($B18&lt;&gt;"Ja",0,IF(AND(12&gt;=$J18,12&lt;=$K18),IF($I18="Monatlich",$L18*$M18*VLOOKUP(Stammdaten!$B$9,Stammdaten!$A$13:$C$15,IF($C18="Einnahme",2,3),FALSE),IF($I18="Quartalsweise",IF(MOD(12-$J18,3)=0,$L18*$M18*VLOOKUP(Stammdaten!$B$9,Stammdaten!$A$13:$C$15,IF($C18="Einnahme",2,3),FALSE),0),IF($I18="Halbjährlich",IF(MOD(12-$J18,6)=0,$L18*$M18*VLOOKUP(Stammdaten!$B$9,Stammdaten!$A$13:$C$15,IF($C18="Einnahme",2,3),FALSE),0),IF($I18="Einmalig",IF(12=$J18,$L18*$M18*VLOOKUP(Stammdaten!$B$9,Stammdaten!$A$13:$C$15,IF($C18="Einnahme",2,3),FALSE),0),0)))),0))</f>
        <v>2300</v>
      </c>
      <c r="AK18" s="16">
        <v>2350</v>
      </c>
      <c r="AL18" s="17">
        <f t="shared" si="0"/>
        <v>27600</v>
      </c>
      <c r="AM18" s="17">
        <f t="shared" si="1"/>
        <v>28100</v>
      </c>
      <c r="AN18" s="17">
        <f t="shared" si="2"/>
        <v>-500</v>
      </c>
      <c r="AO18" s="18">
        <f t="shared" si="3"/>
        <v>-1.8115942028985508E-2</v>
      </c>
      <c r="AP18" s="19" t="str">
        <f>IF(AN18&gt;=0,"Besser/Im Soll",IF(ABS(AO18)&lt;=Stammdaten!$B$7,"Im Soll",IF(ABS(AO18)&lt;=Stammdaten!$B$8,"Prüfen","Kritisch")))</f>
        <v>Im Soll</v>
      </c>
      <c r="AQ18" s="17">
        <f t="shared" si="4"/>
        <v>500</v>
      </c>
      <c r="AR18" s="14" t="s">
        <v>162</v>
      </c>
    </row>
    <row r="19" spans="1:44" x14ac:dyDescent="0.25">
      <c r="A19" s="14">
        <v>13</v>
      </c>
      <c r="B19" s="14" t="s">
        <v>100</v>
      </c>
      <c r="C19" s="14" t="s">
        <v>126</v>
      </c>
      <c r="D19" s="14" t="s">
        <v>163</v>
      </c>
      <c r="E19" s="14" t="s">
        <v>164</v>
      </c>
      <c r="F19" s="14" t="s">
        <v>165</v>
      </c>
      <c r="G19" s="14" t="s">
        <v>166</v>
      </c>
      <c r="H19" s="14" t="s">
        <v>123</v>
      </c>
      <c r="I19" s="14" t="s">
        <v>124</v>
      </c>
      <c r="J19" s="15">
        <v>1</v>
      </c>
      <c r="K19" s="15">
        <v>10</v>
      </c>
      <c r="L19" s="15">
        <v>1</v>
      </c>
      <c r="M19" s="16">
        <v>2400</v>
      </c>
      <c r="N19" s="17">
        <f>IF($B19&lt;&gt;"Ja",0,IF(AND(1&gt;=$J19,1&lt;=$K19),IF($I19="Monatlich",$L19*$M19*VLOOKUP(Stammdaten!$B$9,Stammdaten!$A$13:$C$15,IF($C19="Einnahme",2,3),FALSE),IF($I19="Quartalsweise",IF(MOD(1-$J19,3)=0,$L19*$M19*VLOOKUP(Stammdaten!$B$9,Stammdaten!$A$13:$C$15,IF($C19="Einnahme",2,3),FALSE),0),IF($I19="Halbjährlich",IF(MOD(1-$J19,6)=0,$L19*$M19*VLOOKUP(Stammdaten!$B$9,Stammdaten!$A$13:$C$15,IF($C19="Einnahme",2,3),FALSE),0),IF($I19="Einmalig",IF(1=$J19,$L19*$M19*VLOOKUP(Stammdaten!$B$9,Stammdaten!$A$13:$C$15,IF($C19="Einnahme",2,3),FALSE),0),0)))),0))</f>
        <v>2400</v>
      </c>
      <c r="O19" s="16">
        <v>2600</v>
      </c>
      <c r="P19" s="17">
        <f>IF($B19&lt;&gt;"Ja",0,IF(AND(2&gt;=$J19,2&lt;=$K19),IF($I19="Monatlich",$L19*$M19*VLOOKUP(Stammdaten!$B$9,Stammdaten!$A$13:$C$15,IF($C19="Einnahme",2,3),FALSE),IF($I19="Quartalsweise",IF(MOD(2-$J19,3)=0,$L19*$M19*VLOOKUP(Stammdaten!$B$9,Stammdaten!$A$13:$C$15,IF($C19="Einnahme",2,3),FALSE),0),IF($I19="Halbjährlich",IF(MOD(2-$J19,6)=0,$L19*$M19*VLOOKUP(Stammdaten!$B$9,Stammdaten!$A$13:$C$15,IF($C19="Einnahme",2,3),FALSE),0),IF($I19="Einmalig",IF(2=$J19,$L19*$M19*VLOOKUP(Stammdaten!$B$9,Stammdaten!$A$13:$C$15,IF($C19="Einnahme",2,3),FALSE),0),0)))),0))</f>
        <v>0</v>
      </c>
      <c r="Q19" s="16">
        <v>0</v>
      </c>
      <c r="R19" s="17">
        <f>IF($B19&lt;&gt;"Ja",0,IF(AND(3&gt;=$J19,3&lt;=$K19),IF($I19="Monatlich",$L19*$M19*VLOOKUP(Stammdaten!$B$9,Stammdaten!$A$13:$C$15,IF($C19="Einnahme",2,3),FALSE),IF($I19="Quartalsweise",IF(MOD(3-$J19,3)=0,$L19*$M19*VLOOKUP(Stammdaten!$B$9,Stammdaten!$A$13:$C$15,IF($C19="Einnahme",2,3),FALSE),0),IF($I19="Halbjährlich",IF(MOD(3-$J19,6)=0,$L19*$M19*VLOOKUP(Stammdaten!$B$9,Stammdaten!$A$13:$C$15,IF($C19="Einnahme",2,3),FALSE),0),IF($I19="Einmalig",IF(3=$J19,$L19*$M19*VLOOKUP(Stammdaten!$B$9,Stammdaten!$A$13:$C$15,IF($C19="Einnahme",2,3),FALSE),0),0)))),0))</f>
        <v>0</v>
      </c>
      <c r="S19" s="16">
        <v>0</v>
      </c>
      <c r="T19" s="17">
        <f>IF($B19&lt;&gt;"Ja",0,IF(AND(4&gt;=$J19,4&lt;=$K19),IF($I19="Monatlich",$L19*$M19*VLOOKUP(Stammdaten!$B$9,Stammdaten!$A$13:$C$15,IF($C19="Einnahme",2,3),FALSE),IF($I19="Quartalsweise",IF(MOD(4-$J19,3)=0,$L19*$M19*VLOOKUP(Stammdaten!$B$9,Stammdaten!$A$13:$C$15,IF($C19="Einnahme",2,3),FALSE),0),IF($I19="Halbjährlich",IF(MOD(4-$J19,6)=0,$L19*$M19*VLOOKUP(Stammdaten!$B$9,Stammdaten!$A$13:$C$15,IF($C19="Einnahme",2,3),FALSE),0),IF($I19="Einmalig",IF(4=$J19,$L19*$M19*VLOOKUP(Stammdaten!$B$9,Stammdaten!$A$13:$C$15,IF($C19="Einnahme",2,3),FALSE),0),0)))),0))</f>
        <v>2400</v>
      </c>
      <c r="U19" s="16">
        <v>2400</v>
      </c>
      <c r="V19" s="17">
        <f>IF($B19&lt;&gt;"Ja",0,IF(AND(5&gt;=$J19,5&lt;=$K19),IF($I19="Monatlich",$L19*$M19*VLOOKUP(Stammdaten!$B$9,Stammdaten!$A$13:$C$15,IF($C19="Einnahme",2,3),FALSE),IF($I19="Quartalsweise",IF(MOD(5-$J19,3)=0,$L19*$M19*VLOOKUP(Stammdaten!$B$9,Stammdaten!$A$13:$C$15,IF($C19="Einnahme",2,3),FALSE),0),IF($I19="Halbjährlich",IF(MOD(5-$J19,6)=0,$L19*$M19*VLOOKUP(Stammdaten!$B$9,Stammdaten!$A$13:$C$15,IF($C19="Einnahme",2,3),FALSE),0),IF($I19="Einmalig",IF(5=$J19,$L19*$M19*VLOOKUP(Stammdaten!$B$9,Stammdaten!$A$13:$C$15,IF($C19="Einnahme",2,3),FALSE),0),0)))),0))</f>
        <v>0</v>
      </c>
      <c r="W19" s="16">
        <v>0</v>
      </c>
      <c r="X19" s="17">
        <f>IF($B19&lt;&gt;"Ja",0,IF(AND(6&gt;=$J19,6&lt;=$K19),IF($I19="Monatlich",$L19*$M19*VLOOKUP(Stammdaten!$B$9,Stammdaten!$A$13:$C$15,IF($C19="Einnahme",2,3),FALSE),IF($I19="Quartalsweise",IF(MOD(6-$J19,3)=0,$L19*$M19*VLOOKUP(Stammdaten!$B$9,Stammdaten!$A$13:$C$15,IF($C19="Einnahme",2,3),FALSE),0),IF($I19="Halbjährlich",IF(MOD(6-$J19,6)=0,$L19*$M19*VLOOKUP(Stammdaten!$B$9,Stammdaten!$A$13:$C$15,IF($C19="Einnahme",2,3),FALSE),0),IF($I19="Einmalig",IF(6=$J19,$L19*$M19*VLOOKUP(Stammdaten!$B$9,Stammdaten!$A$13:$C$15,IF($C19="Einnahme",2,3),FALSE),0),0)))),0))</f>
        <v>0</v>
      </c>
      <c r="Y19" s="16">
        <v>0</v>
      </c>
      <c r="Z19" s="17">
        <f>IF($B19&lt;&gt;"Ja",0,IF(AND(7&gt;=$J19,7&lt;=$K19),IF($I19="Monatlich",$L19*$M19*VLOOKUP(Stammdaten!$B$9,Stammdaten!$A$13:$C$15,IF($C19="Einnahme",2,3),FALSE),IF($I19="Quartalsweise",IF(MOD(7-$J19,3)=0,$L19*$M19*VLOOKUP(Stammdaten!$B$9,Stammdaten!$A$13:$C$15,IF($C19="Einnahme",2,3),FALSE),0),IF($I19="Halbjährlich",IF(MOD(7-$J19,6)=0,$L19*$M19*VLOOKUP(Stammdaten!$B$9,Stammdaten!$A$13:$C$15,IF($C19="Einnahme",2,3),FALSE),0),IF($I19="Einmalig",IF(7=$J19,$L19*$M19*VLOOKUP(Stammdaten!$B$9,Stammdaten!$A$13:$C$15,IF($C19="Einnahme",2,3),FALSE),0),0)))),0))</f>
        <v>2400</v>
      </c>
      <c r="AA19" s="16">
        <v>2350</v>
      </c>
      <c r="AB19" s="17">
        <f>IF($B19&lt;&gt;"Ja",0,IF(AND(8&gt;=$J19,8&lt;=$K19),IF($I19="Monatlich",$L19*$M19*VLOOKUP(Stammdaten!$B$9,Stammdaten!$A$13:$C$15,IF($C19="Einnahme",2,3),FALSE),IF($I19="Quartalsweise",IF(MOD(8-$J19,3)=0,$L19*$M19*VLOOKUP(Stammdaten!$B$9,Stammdaten!$A$13:$C$15,IF($C19="Einnahme",2,3),FALSE),0),IF($I19="Halbjährlich",IF(MOD(8-$J19,6)=0,$L19*$M19*VLOOKUP(Stammdaten!$B$9,Stammdaten!$A$13:$C$15,IF($C19="Einnahme",2,3),FALSE),0),IF($I19="Einmalig",IF(8=$J19,$L19*$M19*VLOOKUP(Stammdaten!$B$9,Stammdaten!$A$13:$C$15,IF($C19="Einnahme",2,3),FALSE),0),0)))),0))</f>
        <v>0</v>
      </c>
      <c r="AC19" s="16">
        <v>0</v>
      </c>
      <c r="AD19" s="17">
        <f>IF($B19&lt;&gt;"Ja",0,IF(AND(9&gt;=$J19,9&lt;=$K19),IF($I19="Monatlich",$L19*$M19*VLOOKUP(Stammdaten!$B$9,Stammdaten!$A$13:$C$15,IF($C19="Einnahme",2,3),FALSE),IF($I19="Quartalsweise",IF(MOD(9-$J19,3)=0,$L19*$M19*VLOOKUP(Stammdaten!$B$9,Stammdaten!$A$13:$C$15,IF($C19="Einnahme",2,3),FALSE),0),IF($I19="Halbjährlich",IF(MOD(9-$J19,6)=0,$L19*$M19*VLOOKUP(Stammdaten!$B$9,Stammdaten!$A$13:$C$15,IF($C19="Einnahme",2,3),FALSE),0),IF($I19="Einmalig",IF(9=$J19,$L19*$M19*VLOOKUP(Stammdaten!$B$9,Stammdaten!$A$13:$C$15,IF($C19="Einnahme",2,3),FALSE),0),0)))),0))</f>
        <v>0</v>
      </c>
      <c r="AE19" s="16">
        <v>0</v>
      </c>
      <c r="AF19" s="17">
        <f>IF($B19&lt;&gt;"Ja",0,IF(AND(10&gt;=$J19,10&lt;=$K19),IF($I19="Monatlich",$L19*$M19*VLOOKUP(Stammdaten!$B$9,Stammdaten!$A$13:$C$15,IF($C19="Einnahme",2,3),FALSE),IF($I19="Quartalsweise",IF(MOD(10-$J19,3)=0,$L19*$M19*VLOOKUP(Stammdaten!$B$9,Stammdaten!$A$13:$C$15,IF($C19="Einnahme",2,3),FALSE),0),IF($I19="Halbjährlich",IF(MOD(10-$J19,6)=0,$L19*$M19*VLOOKUP(Stammdaten!$B$9,Stammdaten!$A$13:$C$15,IF($C19="Einnahme",2,3),FALSE),0),IF($I19="Einmalig",IF(10=$J19,$L19*$M19*VLOOKUP(Stammdaten!$B$9,Stammdaten!$A$13:$C$15,IF($C19="Einnahme",2,3),FALSE),0),0)))),0))</f>
        <v>2400</v>
      </c>
      <c r="AG19" s="16">
        <v>2650</v>
      </c>
      <c r="AH19" s="17">
        <f>IF($B19&lt;&gt;"Ja",0,IF(AND(11&gt;=$J19,11&lt;=$K19),IF($I19="Monatlich",$L19*$M19*VLOOKUP(Stammdaten!$B$9,Stammdaten!$A$13:$C$15,IF($C19="Einnahme",2,3),FALSE),IF($I19="Quartalsweise",IF(MOD(11-$J19,3)=0,$L19*$M19*VLOOKUP(Stammdaten!$B$9,Stammdaten!$A$13:$C$15,IF($C19="Einnahme",2,3),FALSE),0),IF($I19="Halbjährlich",IF(MOD(11-$J19,6)=0,$L19*$M19*VLOOKUP(Stammdaten!$B$9,Stammdaten!$A$13:$C$15,IF($C19="Einnahme",2,3),FALSE),0),IF($I19="Einmalig",IF(11=$J19,$L19*$M19*VLOOKUP(Stammdaten!$B$9,Stammdaten!$A$13:$C$15,IF($C19="Einnahme",2,3),FALSE),0),0)))),0))</f>
        <v>0</v>
      </c>
      <c r="AI19" s="16">
        <v>0</v>
      </c>
      <c r="AJ19" s="17">
        <f>IF($B19&lt;&gt;"Ja",0,IF(AND(12&gt;=$J19,12&lt;=$K19),IF($I19="Monatlich",$L19*$M19*VLOOKUP(Stammdaten!$B$9,Stammdaten!$A$13:$C$15,IF($C19="Einnahme",2,3),FALSE),IF($I19="Quartalsweise",IF(MOD(12-$J19,3)=0,$L19*$M19*VLOOKUP(Stammdaten!$B$9,Stammdaten!$A$13:$C$15,IF($C19="Einnahme",2,3),FALSE),0),IF($I19="Halbjährlich",IF(MOD(12-$J19,6)=0,$L19*$M19*VLOOKUP(Stammdaten!$B$9,Stammdaten!$A$13:$C$15,IF($C19="Einnahme",2,3),FALSE),0),IF($I19="Einmalig",IF(12=$J19,$L19*$M19*VLOOKUP(Stammdaten!$B$9,Stammdaten!$A$13:$C$15,IF($C19="Einnahme",2,3),FALSE),0),0)))),0))</f>
        <v>0</v>
      </c>
      <c r="AK19" s="16">
        <v>0</v>
      </c>
      <c r="AL19" s="17">
        <f t="shared" si="0"/>
        <v>9600</v>
      </c>
      <c r="AM19" s="17">
        <f t="shared" si="1"/>
        <v>10000</v>
      </c>
      <c r="AN19" s="17">
        <f t="shared" si="2"/>
        <v>-400</v>
      </c>
      <c r="AO19" s="18">
        <f t="shared" si="3"/>
        <v>-4.1666666666666664E-2</v>
      </c>
      <c r="AP19" s="19" t="str">
        <f>IF(AN19&gt;=0,"Besser/Im Soll",IF(ABS(AO19)&lt;=Stammdaten!$B$7,"Im Soll",IF(ABS(AO19)&lt;=Stammdaten!$B$8,"Prüfen","Kritisch")))</f>
        <v>Im Soll</v>
      </c>
      <c r="AQ19" s="17">
        <f t="shared" si="4"/>
        <v>400</v>
      </c>
      <c r="AR19" s="14" t="s">
        <v>167</v>
      </c>
    </row>
    <row r="20" spans="1:44" x14ac:dyDescent="0.25">
      <c r="A20" s="14">
        <v>14</v>
      </c>
      <c r="B20" s="14" t="s">
        <v>100</v>
      </c>
      <c r="C20" s="14" t="s">
        <v>126</v>
      </c>
      <c r="D20" s="14" t="s">
        <v>163</v>
      </c>
      <c r="E20" s="14" t="s">
        <v>168</v>
      </c>
      <c r="F20" s="14" t="s">
        <v>169</v>
      </c>
      <c r="G20" s="14" t="s">
        <v>170</v>
      </c>
      <c r="H20" s="14" t="s">
        <v>123</v>
      </c>
      <c r="I20" s="14" t="s">
        <v>124</v>
      </c>
      <c r="J20" s="15">
        <v>3</v>
      </c>
      <c r="K20" s="15">
        <v>12</v>
      </c>
      <c r="L20" s="15">
        <v>1</v>
      </c>
      <c r="M20" s="16">
        <v>12000</v>
      </c>
      <c r="N20" s="17">
        <f>IF($B20&lt;&gt;"Ja",0,IF(AND(1&gt;=$J20,1&lt;=$K20),IF($I20="Monatlich",$L20*$M20*VLOOKUP(Stammdaten!$B$9,Stammdaten!$A$13:$C$15,IF($C20="Einnahme",2,3),FALSE),IF($I20="Quartalsweise",IF(MOD(1-$J20,3)=0,$L20*$M20*VLOOKUP(Stammdaten!$B$9,Stammdaten!$A$13:$C$15,IF($C20="Einnahme",2,3),FALSE),0),IF($I20="Halbjährlich",IF(MOD(1-$J20,6)=0,$L20*$M20*VLOOKUP(Stammdaten!$B$9,Stammdaten!$A$13:$C$15,IF($C20="Einnahme",2,3),FALSE),0),IF($I20="Einmalig",IF(1=$J20,$L20*$M20*VLOOKUP(Stammdaten!$B$9,Stammdaten!$A$13:$C$15,IF($C20="Einnahme",2,3),FALSE),0),0)))),0))</f>
        <v>0</v>
      </c>
      <c r="O20" s="16">
        <v>0</v>
      </c>
      <c r="P20" s="17">
        <f>IF($B20&lt;&gt;"Ja",0,IF(AND(2&gt;=$J20,2&lt;=$K20),IF($I20="Monatlich",$L20*$M20*VLOOKUP(Stammdaten!$B$9,Stammdaten!$A$13:$C$15,IF($C20="Einnahme",2,3),FALSE),IF($I20="Quartalsweise",IF(MOD(2-$J20,3)=0,$L20*$M20*VLOOKUP(Stammdaten!$B$9,Stammdaten!$A$13:$C$15,IF($C20="Einnahme",2,3),FALSE),0),IF($I20="Halbjährlich",IF(MOD(2-$J20,6)=0,$L20*$M20*VLOOKUP(Stammdaten!$B$9,Stammdaten!$A$13:$C$15,IF($C20="Einnahme",2,3),FALSE),0),IF($I20="Einmalig",IF(2=$J20,$L20*$M20*VLOOKUP(Stammdaten!$B$9,Stammdaten!$A$13:$C$15,IF($C20="Einnahme",2,3),FALSE),0),0)))),0))</f>
        <v>0</v>
      </c>
      <c r="Q20" s="16">
        <v>0</v>
      </c>
      <c r="R20" s="17">
        <f>IF($B20&lt;&gt;"Ja",0,IF(AND(3&gt;=$J20,3&lt;=$K20),IF($I20="Monatlich",$L20*$M20*VLOOKUP(Stammdaten!$B$9,Stammdaten!$A$13:$C$15,IF($C20="Einnahme",2,3),FALSE),IF($I20="Quartalsweise",IF(MOD(3-$J20,3)=0,$L20*$M20*VLOOKUP(Stammdaten!$B$9,Stammdaten!$A$13:$C$15,IF($C20="Einnahme",2,3),FALSE),0),IF($I20="Halbjährlich",IF(MOD(3-$J20,6)=0,$L20*$M20*VLOOKUP(Stammdaten!$B$9,Stammdaten!$A$13:$C$15,IF($C20="Einnahme",2,3),FALSE),0),IF($I20="Einmalig",IF(3=$J20,$L20*$M20*VLOOKUP(Stammdaten!$B$9,Stammdaten!$A$13:$C$15,IF($C20="Einnahme",2,3),FALSE),0),0)))),0))</f>
        <v>12000</v>
      </c>
      <c r="S20" s="16">
        <v>11650</v>
      </c>
      <c r="T20" s="17">
        <f>IF($B20&lt;&gt;"Ja",0,IF(AND(4&gt;=$J20,4&lt;=$K20),IF($I20="Monatlich",$L20*$M20*VLOOKUP(Stammdaten!$B$9,Stammdaten!$A$13:$C$15,IF($C20="Einnahme",2,3),FALSE),IF($I20="Quartalsweise",IF(MOD(4-$J20,3)=0,$L20*$M20*VLOOKUP(Stammdaten!$B$9,Stammdaten!$A$13:$C$15,IF($C20="Einnahme",2,3),FALSE),0),IF($I20="Halbjährlich",IF(MOD(4-$J20,6)=0,$L20*$M20*VLOOKUP(Stammdaten!$B$9,Stammdaten!$A$13:$C$15,IF($C20="Einnahme",2,3),FALSE),0),IF($I20="Einmalig",IF(4=$J20,$L20*$M20*VLOOKUP(Stammdaten!$B$9,Stammdaten!$A$13:$C$15,IF($C20="Einnahme",2,3),FALSE),0),0)))),0))</f>
        <v>0</v>
      </c>
      <c r="U20" s="16">
        <v>0</v>
      </c>
      <c r="V20" s="17">
        <f>IF($B20&lt;&gt;"Ja",0,IF(AND(5&gt;=$J20,5&lt;=$K20),IF($I20="Monatlich",$L20*$M20*VLOOKUP(Stammdaten!$B$9,Stammdaten!$A$13:$C$15,IF($C20="Einnahme",2,3),FALSE),IF($I20="Quartalsweise",IF(MOD(5-$J20,3)=0,$L20*$M20*VLOOKUP(Stammdaten!$B$9,Stammdaten!$A$13:$C$15,IF($C20="Einnahme",2,3),FALSE),0),IF($I20="Halbjährlich",IF(MOD(5-$J20,6)=0,$L20*$M20*VLOOKUP(Stammdaten!$B$9,Stammdaten!$A$13:$C$15,IF($C20="Einnahme",2,3),FALSE),0),IF($I20="Einmalig",IF(5=$J20,$L20*$M20*VLOOKUP(Stammdaten!$B$9,Stammdaten!$A$13:$C$15,IF($C20="Einnahme",2,3),FALSE),0),0)))),0))</f>
        <v>0</v>
      </c>
      <c r="W20" s="16">
        <v>0</v>
      </c>
      <c r="X20" s="17">
        <f>IF($B20&lt;&gt;"Ja",0,IF(AND(6&gt;=$J20,6&lt;=$K20),IF($I20="Monatlich",$L20*$M20*VLOOKUP(Stammdaten!$B$9,Stammdaten!$A$13:$C$15,IF($C20="Einnahme",2,3),FALSE),IF($I20="Quartalsweise",IF(MOD(6-$J20,3)=0,$L20*$M20*VLOOKUP(Stammdaten!$B$9,Stammdaten!$A$13:$C$15,IF($C20="Einnahme",2,3),FALSE),0),IF($I20="Halbjährlich",IF(MOD(6-$J20,6)=0,$L20*$M20*VLOOKUP(Stammdaten!$B$9,Stammdaten!$A$13:$C$15,IF($C20="Einnahme",2,3),FALSE),0),IF($I20="Einmalig",IF(6=$J20,$L20*$M20*VLOOKUP(Stammdaten!$B$9,Stammdaten!$A$13:$C$15,IF($C20="Einnahme",2,3),FALSE),0),0)))),0))</f>
        <v>12000</v>
      </c>
      <c r="Y20" s="16">
        <v>13250</v>
      </c>
      <c r="Z20" s="17">
        <f>IF($B20&lt;&gt;"Ja",0,IF(AND(7&gt;=$J20,7&lt;=$K20),IF($I20="Monatlich",$L20*$M20*VLOOKUP(Stammdaten!$B$9,Stammdaten!$A$13:$C$15,IF($C20="Einnahme",2,3),FALSE),IF($I20="Quartalsweise",IF(MOD(7-$J20,3)=0,$L20*$M20*VLOOKUP(Stammdaten!$B$9,Stammdaten!$A$13:$C$15,IF($C20="Einnahme",2,3),FALSE),0),IF($I20="Halbjährlich",IF(MOD(7-$J20,6)=0,$L20*$M20*VLOOKUP(Stammdaten!$B$9,Stammdaten!$A$13:$C$15,IF($C20="Einnahme",2,3),FALSE),0),IF($I20="Einmalig",IF(7=$J20,$L20*$M20*VLOOKUP(Stammdaten!$B$9,Stammdaten!$A$13:$C$15,IF($C20="Einnahme",2,3),FALSE),0),0)))),0))</f>
        <v>0</v>
      </c>
      <c r="AA20" s="16">
        <v>0</v>
      </c>
      <c r="AB20" s="17">
        <f>IF($B20&lt;&gt;"Ja",0,IF(AND(8&gt;=$J20,8&lt;=$K20),IF($I20="Monatlich",$L20*$M20*VLOOKUP(Stammdaten!$B$9,Stammdaten!$A$13:$C$15,IF($C20="Einnahme",2,3),FALSE),IF($I20="Quartalsweise",IF(MOD(8-$J20,3)=0,$L20*$M20*VLOOKUP(Stammdaten!$B$9,Stammdaten!$A$13:$C$15,IF($C20="Einnahme",2,3),FALSE),0),IF($I20="Halbjährlich",IF(MOD(8-$J20,6)=0,$L20*$M20*VLOOKUP(Stammdaten!$B$9,Stammdaten!$A$13:$C$15,IF($C20="Einnahme",2,3),FALSE),0),IF($I20="Einmalig",IF(8=$J20,$L20*$M20*VLOOKUP(Stammdaten!$B$9,Stammdaten!$A$13:$C$15,IF($C20="Einnahme",2,3),FALSE),0),0)))),0))</f>
        <v>0</v>
      </c>
      <c r="AC20" s="16">
        <v>0</v>
      </c>
      <c r="AD20" s="17">
        <f>IF($B20&lt;&gt;"Ja",0,IF(AND(9&gt;=$J20,9&lt;=$K20),IF($I20="Monatlich",$L20*$M20*VLOOKUP(Stammdaten!$B$9,Stammdaten!$A$13:$C$15,IF($C20="Einnahme",2,3),FALSE),IF($I20="Quartalsweise",IF(MOD(9-$J20,3)=0,$L20*$M20*VLOOKUP(Stammdaten!$B$9,Stammdaten!$A$13:$C$15,IF($C20="Einnahme",2,3),FALSE),0),IF($I20="Halbjährlich",IF(MOD(9-$J20,6)=0,$L20*$M20*VLOOKUP(Stammdaten!$B$9,Stammdaten!$A$13:$C$15,IF($C20="Einnahme",2,3),FALSE),0),IF($I20="Einmalig",IF(9=$J20,$L20*$M20*VLOOKUP(Stammdaten!$B$9,Stammdaten!$A$13:$C$15,IF($C20="Einnahme",2,3),FALSE),0),0)))),0))</f>
        <v>12000</v>
      </c>
      <c r="AE20" s="16">
        <v>12600</v>
      </c>
      <c r="AF20" s="17">
        <f>IF($B20&lt;&gt;"Ja",0,IF(AND(10&gt;=$J20,10&lt;=$K20),IF($I20="Monatlich",$L20*$M20*VLOOKUP(Stammdaten!$B$9,Stammdaten!$A$13:$C$15,IF($C20="Einnahme",2,3),FALSE),IF($I20="Quartalsweise",IF(MOD(10-$J20,3)=0,$L20*$M20*VLOOKUP(Stammdaten!$B$9,Stammdaten!$A$13:$C$15,IF($C20="Einnahme",2,3),FALSE),0),IF($I20="Halbjährlich",IF(MOD(10-$J20,6)=0,$L20*$M20*VLOOKUP(Stammdaten!$B$9,Stammdaten!$A$13:$C$15,IF($C20="Einnahme",2,3),FALSE),0),IF($I20="Einmalig",IF(10=$J20,$L20*$M20*VLOOKUP(Stammdaten!$B$9,Stammdaten!$A$13:$C$15,IF($C20="Einnahme",2,3),FALSE),0),0)))),0))</f>
        <v>0</v>
      </c>
      <c r="AG20" s="16">
        <v>0</v>
      </c>
      <c r="AH20" s="17">
        <f>IF($B20&lt;&gt;"Ja",0,IF(AND(11&gt;=$J20,11&lt;=$K20),IF($I20="Monatlich",$L20*$M20*VLOOKUP(Stammdaten!$B$9,Stammdaten!$A$13:$C$15,IF($C20="Einnahme",2,3),FALSE),IF($I20="Quartalsweise",IF(MOD(11-$J20,3)=0,$L20*$M20*VLOOKUP(Stammdaten!$B$9,Stammdaten!$A$13:$C$15,IF($C20="Einnahme",2,3),FALSE),0),IF($I20="Halbjährlich",IF(MOD(11-$J20,6)=0,$L20*$M20*VLOOKUP(Stammdaten!$B$9,Stammdaten!$A$13:$C$15,IF($C20="Einnahme",2,3),FALSE),0),IF($I20="Einmalig",IF(11=$J20,$L20*$M20*VLOOKUP(Stammdaten!$B$9,Stammdaten!$A$13:$C$15,IF($C20="Einnahme",2,3),FALSE),0),0)))),0))</f>
        <v>0</v>
      </c>
      <c r="AI20" s="16">
        <v>0</v>
      </c>
      <c r="AJ20" s="17">
        <f>IF($B20&lt;&gt;"Ja",0,IF(AND(12&gt;=$J20,12&lt;=$K20),IF($I20="Monatlich",$L20*$M20*VLOOKUP(Stammdaten!$B$9,Stammdaten!$A$13:$C$15,IF($C20="Einnahme",2,3),FALSE),IF($I20="Quartalsweise",IF(MOD(12-$J20,3)=0,$L20*$M20*VLOOKUP(Stammdaten!$B$9,Stammdaten!$A$13:$C$15,IF($C20="Einnahme",2,3),FALSE),0),IF($I20="Halbjährlich",IF(MOD(12-$J20,6)=0,$L20*$M20*VLOOKUP(Stammdaten!$B$9,Stammdaten!$A$13:$C$15,IF($C20="Einnahme",2,3),FALSE),0),IF($I20="Einmalig",IF(12=$J20,$L20*$M20*VLOOKUP(Stammdaten!$B$9,Stammdaten!$A$13:$C$15,IF($C20="Einnahme",2,3),FALSE),0),0)))),0))</f>
        <v>12000</v>
      </c>
      <c r="AK20" s="16">
        <v>12450</v>
      </c>
      <c r="AL20" s="17">
        <f t="shared" si="0"/>
        <v>48000</v>
      </c>
      <c r="AM20" s="17">
        <f t="shared" si="1"/>
        <v>49950</v>
      </c>
      <c r="AN20" s="17">
        <f t="shared" si="2"/>
        <v>-1950</v>
      </c>
      <c r="AO20" s="18">
        <f t="shared" si="3"/>
        <v>-4.0625000000000001E-2</v>
      </c>
      <c r="AP20" s="19" t="str">
        <f>IF(AN20&gt;=0,"Besser/Im Soll",IF(ABS(AO20)&lt;=Stammdaten!$B$7,"Im Soll",IF(ABS(AO20)&lt;=Stammdaten!$B$8,"Prüfen","Kritisch")))</f>
        <v>Im Soll</v>
      </c>
      <c r="AQ20" s="17">
        <f t="shared" si="4"/>
        <v>1950</v>
      </c>
      <c r="AR20" s="14" t="s">
        <v>171</v>
      </c>
    </row>
    <row r="21" spans="1:44" ht="30" x14ac:dyDescent="0.25">
      <c r="A21" s="14">
        <v>15</v>
      </c>
      <c r="B21" s="14" t="s">
        <v>100</v>
      </c>
      <c r="C21" s="14" t="s">
        <v>126</v>
      </c>
      <c r="D21" s="14" t="s">
        <v>144</v>
      </c>
      <c r="E21" s="14" t="s">
        <v>172</v>
      </c>
      <c r="F21" s="14" t="s">
        <v>173</v>
      </c>
      <c r="G21" s="14" t="s">
        <v>174</v>
      </c>
      <c r="H21" s="14" t="s">
        <v>148</v>
      </c>
      <c r="I21" s="14" t="s">
        <v>107</v>
      </c>
      <c r="J21" s="15">
        <v>1</v>
      </c>
      <c r="K21" s="15">
        <v>12</v>
      </c>
      <c r="L21" s="15">
        <v>1</v>
      </c>
      <c r="M21" s="16">
        <v>2000</v>
      </c>
      <c r="N21" s="17">
        <f>IF($B21&lt;&gt;"Ja",0,IF(AND(1&gt;=$J21,1&lt;=$K21),IF($I21="Monatlich",$L21*$M21*VLOOKUP(Stammdaten!$B$9,Stammdaten!$A$13:$C$15,IF($C21="Einnahme",2,3),FALSE),IF($I21="Quartalsweise",IF(MOD(1-$J21,3)=0,$L21*$M21*VLOOKUP(Stammdaten!$B$9,Stammdaten!$A$13:$C$15,IF($C21="Einnahme",2,3),FALSE),0),IF($I21="Halbjährlich",IF(MOD(1-$J21,6)=0,$L21*$M21*VLOOKUP(Stammdaten!$B$9,Stammdaten!$A$13:$C$15,IF($C21="Einnahme",2,3),FALSE),0),IF($I21="Einmalig",IF(1=$J21,$L21*$M21*VLOOKUP(Stammdaten!$B$9,Stammdaten!$A$13:$C$15,IF($C21="Einnahme",2,3),FALSE),0),0)))),0))</f>
        <v>2000</v>
      </c>
      <c r="O21" s="16">
        <v>2100</v>
      </c>
      <c r="P21" s="17">
        <f>IF($B21&lt;&gt;"Ja",0,IF(AND(2&gt;=$J21,2&lt;=$K21),IF($I21="Monatlich",$L21*$M21*VLOOKUP(Stammdaten!$B$9,Stammdaten!$A$13:$C$15,IF($C21="Einnahme",2,3),FALSE),IF($I21="Quartalsweise",IF(MOD(2-$J21,3)=0,$L21*$M21*VLOOKUP(Stammdaten!$B$9,Stammdaten!$A$13:$C$15,IF($C21="Einnahme",2,3),FALSE),0),IF($I21="Halbjährlich",IF(MOD(2-$J21,6)=0,$L21*$M21*VLOOKUP(Stammdaten!$B$9,Stammdaten!$A$13:$C$15,IF($C21="Einnahme",2,3),FALSE),0),IF($I21="Einmalig",IF(2=$J21,$L21*$M21*VLOOKUP(Stammdaten!$B$9,Stammdaten!$A$13:$C$15,IF($C21="Einnahme",2,3),FALSE),0),0)))),0))</f>
        <v>2000</v>
      </c>
      <c r="Q21" s="16">
        <v>2200</v>
      </c>
      <c r="R21" s="17">
        <f>IF($B21&lt;&gt;"Ja",0,IF(AND(3&gt;=$J21,3&lt;=$K21),IF($I21="Monatlich",$L21*$M21*VLOOKUP(Stammdaten!$B$9,Stammdaten!$A$13:$C$15,IF($C21="Einnahme",2,3),FALSE),IF($I21="Quartalsweise",IF(MOD(3-$J21,3)=0,$L21*$M21*VLOOKUP(Stammdaten!$B$9,Stammdaten!$A$13:$C$15,IF($C21="Einnahme",2,3),FALSE),0),IF($I21="Halbjährlich",IF(MOD(3-$J21,6)=0,$L21*$M21*VLOOKUP(Stammdaten!$B$9,Stammdaten!$A$13:$C$15,IF($C21="Einnahme",2,3),FALSE),0),IF($I21="Einmalig",IF(3=$J21,$L21*$M21*VLOOKUP(Stammdaten!$B$9,Stammdaten!$A$13:$C$15,IF($C21="Einnahme",2,3),FALSE),0),0)))),0))</f>
        <v>2000</v>
      </c>
      <c r="S21" s="16">
        <v>2150</v>
      </c>
      <c r="T21" s="17">
        <f>IF($B21&lt;&gt;"Ja",0,IF(AND(4&gt;=$J21,4&lt;=$K21),IF($I21="Monatlich",$L21*$M21*VLOOKUP(Stammdaten!$B$9,Stammdaten!$A$13:$C$15,IF($C21="Einnahme",2,3),FALSE),IF($I21="Quartalsweise",IF(MOD(4-$J21,3)=0,$L21*$M21*VLOOKUP(Stammdaten!$B$9,Stammdaten!$A$13:$C$15,IF($C21="Einnahme",2,3),FALSE),0),IF($I21="Halbjährlich",IF(MOD(4-$J21,6)=0,$L21*$M21*VLOOKUP(Stammdaten!$B$9,Stammdaten!$A$13:$C$15,IF($C21="Einnahme",2,3),FALSE),0),IF($I21="Einmalig",IF(4=$J21,$L21*$M21*VLOOKUP(Stammdaten!$B$9,Stammdaten!$A$13:$C$15,IF($C21="Einnahme",2,3),FALSE),0),0)))),0))</f>
        <v>2000</v>
      </c>
      <c r="U21" s="16">
        <v>2100</v>
      </c>
      <c r="V21" s="17">
        <f>IF($B21&lt;&gt;"Ja",0,IF(AND(5&gt;=$J21,5&lt;=$K21),IF($I21="Monatlich",$L21*$M21*VLOOKUP(Stammdaten!$B$9,Stammdaten!$A$13:$C$15,IF($C21="Einnahme",2,3),FALSE),IF($I21="Quartalsweise",IF(MOD(5-$J21,3)=0,$L21*$M21*VLOOKUP(Stammdaten!$B$9,Stammdaten!$A$13:$C$15,IF($C21="Einnahme",2,3),FALSE),0),IF($I21="Halbjährlich",IF(MOD(5-$J21,6)=0,$L21*$M21*VLOOKUP(Stammdaten!$B$9,Stammdaten!$A$13:$C$15,IF($C21="Einnahme",2,3),FALSE),0),IF($I21="Einmalig",IF(5=$J21,$L21*$M21*VLOOKUP(Stammdaten!$B$9,Stammdaten!$A$13:$C$15,IF($C21="Einnahme",2,3),FALSE),0),0)))),0))</f>
        <v>2000</v>
      </c>
      <c r="W21" s="16">
        <v>2150</v>
      </c>
      <c r="X21" s="17">
        <f>IF($B21&lt;&gt;"Ja",0,IF(AND(6&gt;=$J21,6&lt;=$K21),IF($I21="Monatlich",$L21*$M21*VLOOKUP(Stammdaten!$B$9,Stammdaten!$A$13:$C$15,IF($C21="Einnahme",2,3),FALSE),IF($I21="Quartalsweise",IF(MOD(6-$J21,3)=0,$L21*$M21*VLOOKUP(Stammdaten!$B$9,Stammdaten!$A$13:$C$15,IF($C21="Einnahme",2,3),FALSE),0),IF($I21="Halbjährlich",IF(MOD(6-$J21,6)=0,$L21*$M21*VLOOKUP(Stammdaten!$B$9,Stammdaten!$A$13:$C$15,IF($C21="Einnahme",2,3),FALSE),0),IF($I21="Einmalig",IF(6=$J21,$L21*$M21*VLOOKUP(Stammdaten!$B$9,Stammdaten!$A$13:$C$15,IF($C21="Einnahme",2,3),FALSE),0),0)))),0))</f>
        <v>2000</v>
      </c>
      <c r="Y21" s="16">
        <v>2100</v>
      </c>
      <c r="Z21" s="17">
        <f>IF($B21&lt;&gt;"Ja",0,IF(AND(7&gt;=$J21,7&lt;=$K21),IF($I21="Monatlich",$L21*$M21*VLOOKUP(Stammdaten!$B$9,Stammdaten!$A$13:$C$15,IF($C21="Einnahme",2,3),FALSE),IF($I21="Quartalsweise",IF(MOD(7-$J21,3)=0,$L21*$M21*VLOOKUP(Stammdaten!$B$9,Stammdaten!$A$13:$C$15,IF($C21="Einnahme",2,3),FALSE),0),IF($I21="Halbjährlich",IF(MOD(7-$J21,6)=0,$L21*$M21*VLOOKUP(Stammdaten!$B$9,Stammdaten!$A$13:$C$15,IF($C21="Einnahme",2,3),FALSE),0),IF($I21="Einmalig",IF(7=$J21,$L21*$M21*VLOOKUP(Stammdaten!$B$9,Stammdaten!$A$13:$C$15,IF($C21="Einnahme",2,3),FALSE),0),0)))),0))</f>
        <v>2000</v>
      </c>
      <c r="AA21" s="16">
        <v>2200</v>
      </c>
      <c r="AB21" s="17">
        <f>IF($B21&lt;&gt;"Ja",0,IF(AND(8&gt;=$J21,8&lt;=$K21),IF($I21="Monatlich",$L21*$M21*VLOOKUP(Stammdaten!$B$9,Stammdaten!$A$13:$C$15,IF($C21="Einnahme",2,3),FALSE),IF($I21="Quartalsweise",IF(MOD(8-$J21,3)=0,$L21*$M21*VLOOKUP(Stammdaten!$B$9,Stammdaten!$A$13:$C$15,IF($C21="Einnahme",2,3),FALSE),0),IF($I21="Halbjährlich",IF(MOD(8-$J21,6)=0,$L21*$M21*VLOOKUP(Stammdaten!$B$9,Stammdaten!$A$13:$C$15,IF($C21="Einnahme",2,3),FALSE),0),IF($I21="Einmalig",IF(8=$J21,$L21*$M21*VLOOKUP(Stammdaten!$B$9,Stammdaten!$A$13:$C$15,IF($C21="Einnahme",2,3),FALSE),0),0)))),0))</f>
        <v>2000</v>
      </c>
      <c r="AC21" s="16">
        <v>2000</v>
      </c>
      <c r="AD21" s="17">
        <f>IF($B21&lt;&gt;"Ja",0,IF(AND(9&gt;=$J21,9&lt;=$K21),IF($I21="Monatlich",$L21*$M21*VLOOKUP(Stammdaten!$B$9,Stammdaten!$A$13:$C$15,IF($C21="Einnahme",2,3),FALSE),IF($I21="Quartalsweise",IF(MOD(9-$J21,3)=0,$L21*$M21*VLOOKUP(Stammdaten!$B$9,Stammdaten!$A$13:$C$15,IF($C21="Einnahme",2,3),FALSE),0),IF($I21="Halbjährlich",IF(MOD(9-$J21,6)=0,$L21*$M21*VLOOKUP(Stammdaten!$B$9,Stammdaten!$A$13:$C$15,IF($C21="Einnahme",2,3),FALSE),0),IF($I21="Einmalig",IF(9=$J21,$L21*$M21*VLOOKUP(Stammdaten!$B$9,Stammdaten!$A$13:$C$15,IF($C21="Einnahme",2,3),FALSE),0),0)))),0))</f>
        <v>2000</v>
      </c>
      <c r="AE21" s="16">
        <v>2150</v>
      </c>
      <c r="AF21" s="17">
        <f>IF($B21&lt;&gt;"Ja",0,IF(AND(10&gt;=$J21,10&lt;=$K21),IF($I21="Monatlich",$L21*$M21*VLOOKUP(Stammdaten!$B$9,Stammdaten!$A$13:$C$15,IF($C21="Einnahme",2,3),FALSE),IF($I21="Quartalsweise",IF(MOD(10-$J21,3)=0,$L21*$M21*VLOOKUP(Stammdaten!$B$9,Stammdaten!$A$13:$C$15,IF($C21="Einnahme",2,3),FALSE),0),IF($I21="Halbjährlich",IF(MOD(10-$J21,6)=0,$L21*$M21*VLOOKUP(Stammdaten!$B$9,Stammdaten!$A$13:$C$15,IF($C21="Einnahme",2,3),FALSE),0),IF($I21="Einmalig",IF(10=$J21,$L21*$M21*VLOOKUP(Stammdaten!$B$9,Stammdaten!$A$13:$C$15,IF($C21="Einnahme",2,3),FALSE),0),0)))),0))</f>
        <v>2000</v>
      </c>
      <c r="AG21" s="16">
        <v>2050</v>
      </c>
      <c r="AH21" s="17">
        <f>IF($B21&lt;&gt;"Ja",0,IF(AND(11&gt;=$J21,11&lt;=$K21),IF($I21="Monatlich",$L21*$M21*VLOOKUP(Stammdaten!$B$9,Stammdaten!$A$13:$C$15,IF($C21="Einnahme",2,3),FALSE),IF($I21="Quartalsweise",IF(MOD(11-$J21,3)=0,$L21*$M21*VLOOKUP(Stammdaten!$B$9,Stammdaten!$A$13:$C$15,IF($C21="Einnahme",2,3),FALSE),0),IF($I21="Halbjährlich",IF(MOD(11-$J21,6)=0,$L21*$M21*VLOOKUP(Stammdaten!$B$9,Stammdaten!$A$13:$C$15,IF($C21="Einnahme",2,3),FALSE),0),IF($I21="Einmalig",IF(11=$J21,$L21*$M21*VLOOKUP(Stammdaten!$B$9,Stammdaten!$A$13:$C$15,IF($C21="Einnahme",2,3),FALSE),0),0)))),0))</f>
        <v>2000</v>
      </c>
      <c r="AI21" s="16">
        <v>2050</v>
      </c>
      <c r="AJ21" s="17">
        <f>IF($B21&lt;&gt;"Ja",0,IF(AND(12&gt;=$J21,12&lt;=$K21),IF($I21="Monatlich",$L21*$M21*VLOOKUP(Stammdaten!$B$9,Stammdaten!$A$13:$C$15,IF($C21="Einnahme",2,3),FALSE),IF($I21="Quartalsweise",IF(MOD(12-$J21,3)=0,$L21*$M21*VLOOKUP(Stammdaten!$B$9,Stammdaten!$A$13:$C$15,IF($C21="Einnahme",2,3),FALSE),0),IF($I21="Halbjährlich",IF(MOD(12-$J21,6)=0,$L21*$M21*VLOOKUP(Stammdaten!$B$9,Stammdaten!$A$13:$C$15,IF($C21="Einnahme",2,3),FALSE),0),IF($I21="Einmalig",IF(12=$J21,$L21*$M21*VLOOKUP(Stammdaten!$B$9,Stammdaten!$A$13:$C$15,IF($C21="Einnahme",2,3),FALSE),0),0)))),0))</f>
        <v>2000</v>
      </c>
      <c r="AK21" s="16">
        <v>1950</v>
      </c>
      <c r="AL21" s="17">
        <f t="shared" si="0"/>
        <v>24000</v>
      </c>
      <c r="AM21" s="17">
        <f t="shared" si="1"/>
        <v>25200</v>
      </c>
      <c r="AN21" s="17">
        <f t="shared" si="2"/>
        <v>-1200</v>
      </c>
      <c r="AO21" s="18">
        <f t="shared" si="3"/>
        <v>-0.05</v>
      </c>
      <c r="AP21" s="19" t="str">
        <f>IF(AN21&gt;=0,"Besser/Im Soll",IF(ABS(AO21)&lt;=Stammdaten!$B$7,"Im Soll",IF(ABS(AO21)&lt;=Stammdaten!$B$8,"Prüfen","Kritisch")))</f>
        <v>Im Soll</v>
      </c>
      <c r="AQ21" s="17">
        <f t="shared" si="4"/>
        <v>1200</v>
      </c>
      <c r="AR21" s="14" t="s">
        <v>175</v>
      </c>
    </row>
    <row r="22" spans="1:44" x14ac:dyDescent="0.25">
      <c r="A22" s="14">
        <v>16</v>
      </c>
      <c r="B22" s="14" t="s">
        <v>100</v>
      </c>
      <c r="C22" s="14" t="s">
        <v>126</v>
      </c>
      <c r="D22" s="14" t="s">
        <v>155</v>
      </c>
      <c r="E22" s="14" t="s">
        <v>176</v>
      </c>
      <c r="F22" s="14" t="s">
        <v>177</v>
      </c>
      <c r="G22" s="14" t="s">
        <v>178</v>
      </c>
      <c r="H22" s="14" t="s">
        <v>131</v>
      </c>
      <c r="I22" s="14" t="s">
        <v>179</v>
      </c>
      <c r="J22" s="15">
        <v>5</v>
      </c>
      <c r="K22" s="15">
        <v>5</v>
      </c>
      <c r="L22" s="15">
        <v>1</v>
      </c>
      <c r="M22" s="16">
        <v>18000</v>
      </c>
      <c r="N22" s="17">
        <f>IF($B22&lt;&gt;"Ja",0,IF(AND(1&gt;=$J22,1&lt;=$K22),IF($I22="Monatlich",$L22*$M22*VLOOKUP(Stammdaten!$B$9,Stammdaten!$A$13:$C$15,IF($C22="Einnahme",2,3),FALSE),IF($I22="Quartalsweise",IF(MOD(1-$J22,3)=0,$L22*$M22*VLOOKUP(Stammdaten!$B$9,Stammdaten!$A$13:$C$15,IF($C22="Einnahme",2,3),FALSE),0),IF($I22="Halbjährlich",IF(MOD(1-$J22,6)=0,$L22*$M22*VLOOKUP(Stammdaten!$B$9,Stammdaten!$A$13:$C$15,IF($C22="Einnahme",2,3),FALSE),0),IF($I22="Einmalig",IF(1=$J22,$L22*$M22*VLOOKUP(Stammdaten!$B$9,Stammdaten!$A$13:$C$15,IF($C22="Einnahme",2,3),FALSE),0),0)))),0))</f>
        <v>0</v>
      </c>
      <c r="O22" s="16">
        <v>0</v>
      </c>
      <c r="P22" s="17">
        <f>IF($B22&lt;&gt;"Ja",0,IF(AND(2&gt;=$J22,2&lt;=$K22),IF($I22="Monatlich",$L22*$M22*VLOOKUP(Stammdaten!$B$9,Stammdaten!$A$13:$C$15,IF($C22="Einnahme",2,3),FALSE),IF($I22="Quartalsweise",IF(MOD(2-$J22,3)=0,$L22*$M22*VLOOKUP(Stammdaten!$B$9,Stammdaten!$A$13:$C$15,IF($C22="Einnahme",2,3),FALSE),0),IF($I22="Halbjährlich",IF(MOD(2-$J22,6)=0,$L22*$M22*VLOOKUP(Stammdaten!$B$9,Stammdaten!$A$13:$C$15,IF($C22="Einnahme",2,3),FALSE),0),IF($I22="Einmalig",IF(2=$J22,$L22*$M22*VLOOKUP(Stammdaten!$B$9,Stammdaten!$A$13:$C$15,IF($C22="Einnahme",2,3),FALSE),0),0)))),0))</f>
        <v>0</v>
      </c>
      <c r="Q22" s="16">
        <v>0</v>
      </c>
      <c r="R22" s="17">
        <f>IF($B22&lt;&gt;"Ja",0,IF(AND(3&gt;=$J22,3&lt;=$K22),IF($I22="Monatlich",$L22*$M22*VLOOKUP(Stammdaten!$B$9,Stammdaten!$A$13:$C$15,IF($C22="Einnahme",2,3),FALSE),IF($I22="Quartalsweise",IF(MOD(3-$J22,3)=0,$L22*$M22*VLOOKUP(Stammdaten!$B$9,Stammdaten!$A$13:$C$15,IF($C22="Einnahme",2,3),FALSE),0),IF($I22="Halbjährlich",IF(MOD(3-$J22,6)=0,$L22*$M22*VLOOKUP(Stammdaten!$B$9,Stammdaten!$A$13:$C$15,IF($C22="Einnahme",2,3),FALSE),0),IF($I22="Einmalig",IF(3=$J22,$L22*$M22*VLOOKUP(Stammdaten!$B$9,Stammdaten!$A$13:$C$15,IF($C22="Einnahme",2,3),FALSE),0),0)))),0))</f>
        <v>0</v>
      </c>
      <c r="S22" s="16">
        <v>0</v>
      </c>
      <c r="T22" s="17">
        <f>IF($B22&lt;&gt;"Ja",0,IF(AND(4&gt;=$J22,4&lt;=$K22),IF($I22="Monatlich",$L22*$M22*VLOOKUP(Stammdaten!$B$9,Stammdaten!$A$13:$C$15,IF($C22="Einnahme",2,3),FALSE),IF($I22="Quartalsweise",IF(MOD(4-$J22,3)=0,$L22*$M22*VLOOKUP(Stammdaten!$B$9,Stammdaten!$A$13:$C$15,IF($C22="Einnahme",2,3),FALSE),0),IF($I22="Halbjährlich",IF(MOD(4-$J22,6)=0,$L22*$M22*VLOOKUP(Stammdaten!$B$9,Stammdaten!$A$13:$C$15,IF($C22="Einnahme",2,3),FALSE),0),IF($I22="Einmalig",IF(4=$J22,$L22*$M22*VLOOKUP(Stammdaten!$B$9,Stammdaten!$A$13:$C$15,IF($C22="Einnahme",2,3),FALSE),0),0)))),0))</f>
        <v>0</v>
      </c>
      <c r="U22" s="16">
        <v>0</v>
      </c>
      <c r="V22" s="17">
        <f>IF($B22&lt;&gt;"Ja",0,IF(AND(5&gt;=$J22,5&lt;=$K22),IF($I22="Monatlich",$L22*$M22*VLOOKUP(Stammdaten!$B$9,Stammdaten!$A$13:$C$15,IF($C22="Einnahme",2,3),FALSE),IF($I22="Quartalsweise",IF(MOD(5-$J22,3)=0,$L22*$M22*VLOOKUP(Stammdaten!$B$9,Stammdaten!$A$13:$C$15,IF($C22="Einnahme",2,3),FALSE),0),IF($I22="Halbjährlich",IF(MOD(5-$J22,6)=0,$L22*$M22*VLOOKUP(Stammdaten!$B$9,Stammdaten!$A$13:$C$15,IF($C22="Einnahme",2,3),FALSE),0),IF($I22="Einmalig",IF(5=$J22,$L22*$M22*VLOOKUP(Stammdaten!$B$9,Stammdaten!$A$13:$C$15,IF($C22="Einnahme",2,3),FALSE),0),0)))),0))</f>
        <v>18000</v>
      </c>
      <c r="W22" s="16">
        <v>18250</v>
      </c>
      <c r="X22" s="17">
        <f>IF($B22&lt;&gt;"Ja",0,IF(AND(6&gt;=$J22,6&lt;=$K22),IF($I22="Monatlich",$L22*$M22*VLOOKUP(Stammdaten!$B$9,Stammdaten!$A$13:$C$15,IF($C22="Einnahme",2,3),FALSE),IF($I22="Quartalsweise",IF(MOD(6-$J22,3)=0,$L22*$M22*VLOOKUP(Stammdaten!$B$9,Stammdaten!$A$13:$C$15,IF($C22="Einnahme",2,3),FALSE),0),IF($I22="Halbjährlich",IF(MOD(6-$J22,6)=0,$L22*$M22*VLOOKUP(Stammdaten!$B$9,Stammdaten!$A$13:$C$15,IF($C22="Einnahme",2,3),FALSE),0),IF($I22="Einmalig",IF(6=$J22,$L22*$M22*VLOOKUP(Stammdaten!$B$9,Stammdaten!$A$13:$C$15,IF($C22="Einnahme",2,3),FALSE),0),0)))),0))</f>
        <v>0</v>
      </c>
      <c r="Y22" s="16">
        <v>0</v>
      </c>
      <c r="Z22" s="17">
        <f>IF($B22&lt;&gt;"Ja",0,IF(AND(7&gt;=$J22,7&lt;=$K22),IF($I22="Monatlich",$L22*$M22*VLOOKUP(Stammdaten!$B$9,Stammdaten!$A$13:$C$15,IF($C22="Einnahme",2,3),FALSE),IF($I22="Quartalsweise",IF(MOD(7-$J22,3)=0,$L22*$M22*VLOOKUP(Stammdaten!$B$9,Stammdaten!$A$13:$C$15,IF($C22="Einnahme",2,3),FALSE),0),IF($I22="Halbjährlich",IF(MOD(7-$J22,6)=0,$L22*$M22*VLOOKUP(Stammdaten!$B$9,Stammdaten!$A$13:$C$15,IF($C22="Einnahme",2,3),FALSE),0),IF($I22="Einmalig",IF(7=$J22,$L22*$M22*VLOOKUP(Stammdaten!$B$9,Stammdaten!$A$13:$C$15,IF($C22="Einnahme",2,3),FALSE),0),0)))),0))</f>
        <v>0</v>
      </c>
      <c r="AA22" s="16">
        <v>0</v>
      </c>
      <c r="AB22" s="17">
        <f>IF($B22&lt;&gt;"Ja",0,IF(AND(8&gt;=$J22,8&lt;=$K22),IF($I22="Monatlich",$L22*$M22*VLOOKUP(Stammdaten!$B$9,Stammdaten!$A$13:$C$15,IF($C22="Einnahme",2,3),FALSE),IF($I22="Quartalsweise",IF(MOD(8-$J22,3)=0,$L22*$M22*VLOOKUP(Stammdaten!$B$9,Stammdaten!$A$13:$C$15,IF($C22="Einnahme",2,3),FALSE),0),IF($I22="Halbjährlich",IF(MOD(8-$J22,6)=0,$L22*$M22*VLOOKUP(Stammdaten!$B$9,Stammdaten!$A$13:$C$15,IF($C22="Einnahme",2,3),FALSE),0),IF($I22="Einmalig",IF(8=$J22,$L22*$M22*VLOOKUP(Stammdaten!$B$9,Stammdaten!$A$13:$C$15,IF($C22="Einnahme",2,3),FALSE),0),0)))),0))</f>
        <v>0</v>
      </c>
      <c r="AC22" s="16">
        <v>0</v>
      </c>
      <c r="AD22" s="17">
        <f>IF($B22&lt;&gt;"Ja",0,IF(AND(9&gt;=$J22,9&lt;=$K22),IF($I22="Monatlich",$L22*$M22*VLOOKUP(Stammdaten!$B$9,Stammdaten!$A$13:$C$15,IF($C22="Einnahme",2,3),FALSE),IF($I22="Quartalsweise",IF(MOD(9-$J22,3)=0,$L22*$M22*VLOOKUP(Stammdaten!$B$9,Stammdaten!$A$13:$C$15,IF($C22="Einnahme",2,3),FALSE),0),IF($I22="Halbjährlich",IF(MOD(9-$J22,6)=0,$L22*$M22*VLOOKUP(Stammdaten!$B$9,Stammdaten!$A$13:$C$15,IF($C22="Einnahme",2,3),FALSE),0),IF($I22="Einmalig",IF(9=$J22,$L22*$M22*VLOOKUP(Stammdaten!$B$9,Stammdaten!$A$13:$C$15,IF($C22="Einnahme",2,3),FALSE),0),0)))),0))</f>
        <v>0</v>
      </c>
      <c r="AE22" s="16">
        <v>0</v>
      </c>
      <c r="AF22" s="17">
        <f>IF($B22&lt;&gt;"Ja",0,IF(AND(10&gt;=$J22,10&lt;=$K22),IF($I22="Monatlich",$L22*$M22*VLOOKUP(Stammdaten!$B$9,Stammdaten!$A$13:$C$15,IF($C22="Einnahme",2,3),FALSE),IF($I22="Quartalsweise",IF(MOD(10-$J22,3)=0,$L22*$M22*VLOOKUP(Stammdaten!$B$9,Stammdaten!$A$13:$C$15,IF($C22="Einnahme",2,3),FALSE),0),IF($I22="Halbjährlich",IF(MOD(10-$J22,6)=0,$L22*$M22*VLOOKUP(Stammdaten!$B$9,Stammdaten!$A$13:$C$15,IF($C22="Einnahme",2,3),FALSE),0),IF($I22="Einmalig",IF(10=$J22,$L22*$M22*VLOOKUP(Stammdaten!$B$9,Stammdaten!$A$13:$C$15,IF($C22="Einnahme",2,3),FALSE),0),0)))),0))</f>
        <v>0</v>
      </c>
      <c r="AG22" s="16">
        <v>0</v>
      </c>
      <c r="AH22" s="17">
        <f>IF($B22&lt;&gt;"Ja",0,IF(AND(11&gt;=$J22,11&lt;=$K22),IF($I22="Monatlich",$L22*$M22*VLOOKUP(Stammdaten!$B$9,Stammdaten!$A$13:$C$15,IF($C22="Einnahme",2,3),FALSE),IF($I22="Quartalsweise",IF(MOD(11-$J22,3)=0,$L22*$M22*VLOOKUP(Stammdaten!$B$9,Stammdaten!$A$13:$C$15,IF($C22="Einnahme",2,3),FALSE),0),IF($I22="Halbjährlich",IF(MOD(11-$J22,6)=0,$L22*$M22*VLOOKUP(Stammdaten!$B$9,Stammdaten!$A$13:$C$15,IF($C22="Einnahme",2,3),FALSE),0),IF($I22="Einmalig",IF(11=$J22,$L22*$M22*VLOOKUP(Stammdaten!$B$9,Stammdaten!$A$13:$C$15,IF($C22="Einnahme",2,3),FALSE),0),0)))),0))</f>
        <v>0</v>
      </c>
      <c r="AI22" s="16">
        <v>0</v>
      </c>
      <c r="AJ22" s="17">
        <f>IF($B22&lt;&gt;"Ja",0,IF(AND(12&gt;=$J22,12&lt;=$K22),IF($I22="Monatlich",$L22*$M22*VLOOKUP(Stammdaten!$B$9,Stammdaten!$A$13:$C$15,IF($C22="Einnahme",2,3),FALSE),IF($I22="Quartalsweise",IF(MOD(12-$J22,3)=0,$L22*$M22*VLOOKUP(Stammdaten!$B$9,Stammdaten!$A$13:$C$15,IF($C22="Einnahme",2,3),FALSE),0),IF($I22="Halbjährlich",IF(MOD(12-$J22,6)=0,$L22*$M22*VLOOKUP(Stammdaten!$B$9,Stammdaten!$A$13:$C$15,IF($C22="Einnahme",2,3),FALSE),0),IF($I22="Einmalig",IF(12=$J22,$L22*$M22*VLOOKUP(Stammdaten!$B$9,Stammdaten!$A$13:$C$15,IF($C22="Einnahme",2,3),FALSE),0),0)))),0))</f>
        <v>0</v>
      </c>
      <c r="AK22" s="16">
        <v>0</v>
      </c>
      <c r="AL22" s="17">
        <f t="shared" si="0"/>
        <v>18000</v>
      </c>
      <c r="AM22" s="17">
        <f t="shared" si="1"/>
        <v>18250</v>
      </c>
      <c r="AN22" s="17">
        <f t="shared" si="2"/>
        <v>-250</v>
      </c>
      <c r="AO22" s="18">
        <f t="shared" si="3"/>
        <v>-1.3888888888888888E-2</v>
      </c>
      <c r="AP22" s="19" t="str">
        <f>IF(AN22&gt;=0,"Besser/Im Soll",IF(ABS(AO22)&lt;=Stammdaten!$B$7,"Im Soll",IF(ABS(AO22)&lt;=Stammdaten!$B$8,"Prüfen","Kritisch")))</f>
        <v>Im Soll</v>
      </c>
      <c r="AQ22" s="17">
        <f t="shared" si="4"/>
        <v>250</v>
      </c>
      <c r="AR22" s="14" t="s">
        <v>180</v>
      </c>
    </row>
    <row r="23" spans="1:44" x14ac:dyDescent="0.25">
      <c r="A23" s="14">
        <v>17</v>
      </c>
      <c r="B23" s="14" t="s">
        <v>100</v>
      </c>
      <c r="C23" s="14" t="s">
        <v>126</v>
      </c>
      <c r="D23" s="14" t="s">
        <v>127</v>
      </c>
      <c r="E23" s="14" t="s">
        <v>181</v>
      </c>
      <c r="F23" s="14" t="s">
        <v>182</v>
      </c>
      <c r="G23" s="14" t="s">
        <v>183</v>
      </c>
      <c r="H23" s="14" t="s">
        <v>131</v>
      </c>
      <c r="I23" s="14" t="s">
        <v>107</v>
      </c>
      <c r="J23" s="15">
        <v>1</v>
      </c>
      <c r="K23" s="15">
        <v>12</v>
      </c>
      <c r="L23" s="15">
        <v>1</v>
      </c>
      <c r="M23" s="16">
        <v>1200</v>
      </c>
      <c r="N23" s="17">
        <f>IF($B23&lt;&gt;"Ja",0,IF(AND(1&gt;=$J23,1&lt;=$K23),IF($I23="Monatlich",$L23*$M23*VLOOKUP(Stammdaten!$B$9,Stammdaten!$A$13:$C$15,IF($C23="Einnahme",2,3),FALSE),IF($I23="Quartalsweise",IF(MOD(1-$J23,3)=0,$L23*$M23*VLOOKUP(Stammdaten!$B$9,Stammdaten!$A$13:$C$15,IF($C23="Einnahme",2,3),FALSE),0),IF($I23="Halbjährlich",IF(MOD(1-$J23,6)=0,$L23*$M23*VLOOKUP(Stammdaten!$B$9,Stammdaten!$A$13:$C$15,IF($C23="Einnahme",2,3),FALSE),0),IF($I23="Einmalig",IF(1=$J23,$L23*$M23*VLOOKUP(Stammdaten!$B$9,Stammdaten!$A$13:$C$15,IF($C23="Einnahme",2,3),FALSE),0),0)))),0))</f>
        <v>1200</v>
      </c>
      <c r="O23" s="16">
        <v>1250</v>
      </c>
      <c r="P23" s="17">
        <f>IF($B23&lt;&gt;"Ja",0,IF(AND(2&gt;=$J23,2&lt;=$K23),IF($I23="Monatlich",$L23*$M23*VLOOKUP(Stammdaten!$B$9,Stammdaten!$A$13:$C$15,IF($C23="Einnahme",2,3),FALSE),IF($I23="Quartalsweise",IF(MOD(2-$J23,3)=0,$L23*$M23*VLOOKUP(Stammdaten!$B$9,Stammdaten!$A$13:$C$15,IF($C23="Einnahme",2,3),FALSE),0),IF($I23="Halbjährlich",IF(MOD(2-$J23,6)=0,$L23*$M23*VLOOKUP(Stammdaten!$B$9,Stammdaten!$A$13:$C$15,IF($C23="Einnahme",2,3),FALSE),0),IF($I23="Einmalig",IF(2=$J23,$L23*$M23*VLOOKUP(Stammdaten!$B$9,Stammdaten!$A$13:$C$15,IF($C23="Einnahme",2,3),FALSE),0),0)))),0))</f>
        <v>1200</v>
      </c>
      <c r="Q23" s="16">
        <v>1150</v>
      </c>
      <c r="R23" s="17">
        <f>IF($B23&lt;&gt;"Ja",0,IF(AND(3&gt;=$J23,3&lt;=$K23),IF($I23="Monatlich",$L23*$M23*VLOOKUP(Stammdaten!$B$9,Stammdaten!$A$13:$C$15,IF($C23="Einnahme",2,3),FALSE),IF($I23="Quartalsweise",IF(MOD(3-$J23,3)=0,$L23*$M23*VLOOKUP(Stammdaten!$B$9,Stammdaten!$A$13:$C$15,IF($C23="Einnahme",2,3),FALSE),0),IF($I23="Halbjährlich",IF(MOD(3-$J23,6)=0,$L23*$M23*VLOOKUP(Stammdaten!$B$9,Stammdaten!$A$13:$C$15,IF($C23="Einnahme",2,3),FALSE),0),IF($I23="Einmalig",IF(3=$J23,$L23*$M23*VLOOKUP(Stammdaten!$B$9,Stammdaten!$A$13:$C$15,IF($C23="Einnahme",2,3),FALSE),0),0)))),0))</f>
        <v>1200</v>
      </c>
      <c r="S23" s="16">
        <v>1300</v>
      </c>
      <c r="T23" s="17">
        <f>IF($B23&lt;&gt;"Ja",0,IF(AND(4&gt;=$J23,4&lt;=$K23),IF($I23="Monatlich",$L23*$M23*VLOOKUP(Stammdaten!$B$9,Stammdaten!$A$13:$C$15,IF($C23="Einnahme",2,3),FALSE),IF($I23="Quartalsweise",IF(MOD(4-$J23,3)=0,$L23*$M23*VLOOKUP(Stammdaten!$B$9,Stammdaten!$A$13:$C$15,IF($C23="Einnahme",2,3),FALSE),0),IF($I23="Halbjährlich",IF(MOD(4-$J23,6)=0,$L23*$M23*VLOOKUP(Stammdaten!$B$9,Stammdaten!$A$13:$C$15,IF($C23="Einnahme",2,3),FALSE),0),IF($I23="Einmalig",IF(4=$J23,$L23*$M23*VLOOKUP(Stammdaten!$B$9,Stammdaten!$A$13:$C$15,IF($C23="Einnahme",2,3),FALSE),0),0)))),0))</f>
        <v>1200</v>
      </c>
      <c r="U23" s="16">
        <v>1250</v>
      </c>
      <c r="V23" s="17">
        <f>IF($B23&lt;&gt;"Ja",0,IF(AND(5&gt;=$J23,5&lt;=$K23),IF($I23="Monatlich",$L23*$M23*VLOOKUP(Stammdaten!$B$9,Stammdaten!$A$13:$C$15,IF($C23="Einnahme",2,3),FALSE),IF($I23="Quartalsweise",IF(MOD(5-$J23,3)=0,$L23*$M23*VLOOKUP(Stammdaten!$B$9,Stammdaten!$A$13:$C$15,IF($C23="Einnahme",2,3),FALSE),0),IF($I23="Halbjährlich",IF(MOD(5-$J23,6)=0,$L23*$M23*VLOOKUP(Stammdaten!$B$9,Stammdaten!$A$13:$C$15,IF($C23="Einnahme",2,3),FALSE),0),IF($I23="Einmalig",IF(5=$J23,$L23*$M23*VLOOKUP(Stammdaten!$B$9,Stammdaten!$A$13:$C$15,IF($C23="Einnahme",2,3),FALSE),0),0)))),0))</f>
        <v>1200</v>
      </c>
      <c r="W23" s="16">
        <v>1150</v>
      </c>
      <c r="X23" s="17">
        <f>IF($B23&lt;&gt;"Ja",0,IF(AND(6&gt;=$J23,6&lt;=$K23),IF($I23="Monatlich",$L23*$M23*VLOOKUP(Stammdaten!$B$9,Stammdaten!$A$13:$C$15,IF($C23="Einnahme",2,3),FALSE),IF($I23="Quartalsweise",IF(MOD(6-$J23,3)=0,$L23*$M23*VLOOKUP(Stammdaten!$B$9,Stammdaten!$A$13:$C$15,IF($C23="Einnahme",2,3),FALSE),0),IF($I23="Halbjährlich",IF(MOD(6-$J23,6)=0,$L23*$M23*VLOOKUP(Stammdaten!$B$9,Stammdaten!$A$13:$C$15,IF($C23="Einnahme",2,3),FALSE),0),IF($I23="Einmalig",IF(6=$J23,$L23*$M23*VLOOKUP(Stammdaten!$B$9,Stammdaten!$A$13:$C$15,IF($C23="Einnahme",2,3),FALSE),0),0)))),0))</f>
        <v>1200</v>
      </c>
      <c r="Y23" s="16">
        <v>1300</v>
      </c>
      <c r="Z23" s="17">
        <f>IF($B23&lt;&gt;"Ja",0,IF(AND(7&gt;=$J23,7&lt;=$K23),IF($I23="Monatlich",$L23*$M23*VLOOKUP(Stammdaten!$B$9,Stammdaten!$A$13:$C$15,IF($C23="Einnahme",2,3),FALSE),IF($I23="Quartalsweise",IF(MOD(7-$J23,3)=0,$L23*$M23*VLOOKUP(Stammdaten!$B$9,Stammdaten!$A$13:$C$15,IF($C23="Einnahme",2,3),FALSE),0),IF($I23="Halbjährlich",IF(MOD(7-$J23,6)=0,$L23*$M23*VLOOKUP(Stammdaten!$B$9,Stammdaten!$A$13:$C$15,IF($C23="Einnahme",2,3),FALSE),0),IF($I23="Einmalig",IF(7=$J23,$L23*$M23*VLOOKUP(Stammdaten!$B$9,Stammdaten!$A$13:$C$15,IF($C23="Einnahme",2,3),FALSE),0),0)))),0))</f>
        <v>1200</v>
      </c>
      <c r="AA23" s="16">
        <v>1200</v>
      </c>
      <c r="AB23" s="17">
        <f>IF($B23&lt;&gt;"Ja",0,IF(AND(8&gt;=$J23,8&lt;=$K23),IF($I23="Monatlich",$L23*$M23*VLOOKUP(Stammdaten!$B$9,Stammdaten!$A$13:$C$15,IF($C23="Einnahme",2,3),FALSE),IF($I23="Quartalsweise",IF(MOD(8-$J23,3)=0,$L23*$M23*VLOOKUP(Stammdaten!$B$9,Stammdaten!$A$13:$C$15,IF($C23="Einnahme",2,3),FALSE),0),IF($I23="Halbjährlich",IF(MOD(8-$J23,6)=0,$L23*$M23*VLOOKUP(Stammdaten!$B$9,Stammdaten!$A$13:$C$15,IF($C23="Einnahme",2,3),FALSE),0),IF($I23="Einmalig",IF(8=$J23,$L23*$M23*VLOOKUP(Stammdaten!$B$9,Stammdaten!$A$13:$C$15,IF($C23="Einnahme",2,3),FALSE),0),0)))),0))</f>
        <v>1200</v>
      </c>
      <c r="AC23" s="16">
        <v>1350</v>
      </c>
      <c r="AD23" s="17">
        <f>IF($B23&lt;&gt;"Ja",0,IF(AND(9&gt;=$J23,9&lt;=$K23),IF($I23="Monatlich",$L23*$M23*VLOOKUP(Stammdaten!$B$9,Stammdaten!$A$13:$C$15,IF($C23="Einnahme",2,3),FALSE),IF($I23="Quartalsweise",IF(MOD(9-$J23,3)=0,$L23*$M23*VLOOKUP(Stammdaten!$B$9,Stammdaten!$A$13:$C$15,IF($C23="Einnahme",2,3),FALSE),0),IF($I23="Halbjährlich",IF(MOD(9-$J23,6)=0,$L23*$M23*VLOOKUP(Stammdaten!$B$9,Stammdaten!$A$13:$C$15,IF($C23="Einnahme",2,3),FALSE),0),IF($I23="Einmalig",IF(9=$J23,$L23*$M23*VLOOKUP(Stammdaten!$B$9,Stammdaten!$A$13:$C$15,IF($C23="Einnahme",2,3),FALSE),0),0)))),0))</f>
        <v>1200</v>
      </c>
      <c r="AE23" s="16">
        <v>1150</v>
      </c>
      <c r="AF23" s="17">
        <f>IF($B23&lt;&gt;"Ja",0,IF(AND(10&gt;=$J23,10&lt;=$K23),IF($I23="Monatlich",$L23*$M23*VLOOKUP(Stammdaten!$B$9,Stammdaten!$A$13:$C$15,IF($C23="Einnahme",2,3),FALSE),IF($I23="Quartalsweise",IF(MOD(10-$J23,3)=0,$L23*$M23*VLOOKUP(Stammdaten!$B$9,Stammdaten!$A$13:$C$15,IF($C23="Einnahme",2,3),FALSE),0),IF($I23="Halbjährlich",IF(MOD(10-$J23,6)=0,$L23*$M23*VLOOKUP(Stammdaten!$B$9,Stammdaten!$A$13:$C$15,IF($C23="Einnahme",2,3),FALSE),0),IF($I23="Einmalig",IF(10=$J23,$L23*$M23*VLOOKUP(Stammdaten!$B$9,Stammdaten!$A$13:$C$15,IF($C23="Einnahme",2,3),FALSE),0),0)))),0))</f>
        <v>1200</v>
      </c>
      <c r="AG23" s="16">
        <v>1250</v>
      </c>
      <c r="AH23" s="17">
        <f>IF($B23&lt;&gt;"Ja",0,IF(AND(11&gt;=$J23,11&lt;=$K23),IF($I23="Monatlich",$L23*$M23*VLOOKUP(Stammdaten!$B$9,Stammdaten!$A$13:$C$15,IF($C23="Einnahme",2,3),FALSE),IF($I23="Quartalsweise",IF(MOD(11-$J23,3)=0,$L23*$M23*VLOOKUP(Stammdaten!$B$9,Stammdaten!$A$13:$C$15,IF($C23="Einnahme",2,3),FALSE),0),IF($I23="Halbjährlich",IF(MOD(11-$J23,6)=0,$L23*$M23*VLOOKUP(Stammdaten!$B$9,Stammdaten!$A$13:$C$15,IF($C23="Einnahme",2,3),FALSE),0),IF($I23="Einmalig",IF(11=$J23,$L23*$M23*VLOOKUP(Stammdaten!$B$9,Stammdaten!$A$13:$C$15,IF($C23="Einnahme",2,3),FALSE),0),0)))),0))</f>
        <v>1200</v>
      </c>
      <c r="AI23" s="16">
        <v>1300</v>
      </c>
      <c r="AJ23" s="17">
        <f>IF($B23&lt;&gt;"Ja",0,IF(AND(12&gt;=$J23,12&lt;=$K23),IF($I23="Monatlich",$L23*$M23*VLOOKUP(Stammdaten!$B$9,Stammdaten!$A$13:$C$15,IF($C23="Einnahme",2,3),FALSE),IF($I23="Quartalsweise",IF(MOD(12-$J23,3)=0,$L23*$M23*VLOOKUP(Stammdaten!$B$9,Stammdaten!$A$13:$C$15,IF($C23="Einnahme",2,3),FALSE),0),IF($I23="Halbjährlich",IF(MOD(12-$J23,6)=0,$L23*$M23*VLOOKUP(Stammdaten!$B$9,Stammdaten!$A$13:$C$15,IF($C23="Einnahme",2,3),FALSE),0),IF($I23="Einmalig",IF(12=$J23,$L23*$M23*VLOOKUP(Stammdaten!$B$9,Stammdaten!$A$13:$C$15,IF($C23="Einnahme",2,3),FALSE),0),0)))),0))</f>
        <v>1200</v>
      </c>
      <c r="AK23" s="16">
        <v>1250</v>
      </c>
      <c r="AL23" s="17">
        <f t="shared" si="0"/>
        <v>14400</v>
      </c>
      <c r="AM23" s="17">
        <f t="shared" si="1"/>
        <v>14900</v>
      </c>
      <c r="AN23" s="17">
        <f t="shared" si="2"/>
        <v>-500</v>
      </c>
      <c r="AO23" s="18">
        <f t="shared" si="3"/>
        <v>-3.4722222222222224E-2</v>
      </c>
      <c r="AP23" s="19" t="str">
        <f>IF(AN23&gt;=0,"Besser/Im Soll",IF(ABS(AO23)&lt;=Stammdaten!$B$7,"Im Soll",IF(ABS(AO23)&lt;=Stammdaten!$B$8,"Prüfen","Kritisch")))</f>
        <v>Im Soll</v>
      </c>
      <c r="AQ23" s="17">
        <f t="shared" si="4"/>
        <v>500</v>
      </c>
      <c r="AR23" s="14" t="s">
        <v>184</v>
      </c>
    </row>
    <row r="24" spans="1:44" x14ac:dyDescent="0.25">
      <c r="A24" s="14">
        <v>18</v>
      </c>
      <c r="B24" s="14" t="s">
        <v>100</v>
      </c>
      <c r="C24" s="14" t="s">
        <v>126</v>
      </c>
      <c r="D24" s="14" t="s">
        <v>163</v>
      </c>
      <c r="E24" s="14" t="s">
        <v>185</v>
      </c>
      <c r="F24" s="14" t="s">
        <v>186</v>
      </c>
      <c r="G24" s="14" t="s">
        <v>187</v>
      </c>
      <c r="H24" s="14" t="s">
        <v>123</v>
      </c>
      <c r="I24" s="14" t="s">
        <v>107</v>
      </c>
      <c r="J24" s="15">
        <v>1</v>
      </c>
      <c r="K24" s="15">
        <v>12</v>
      </c>
      <c r="L24" s="15">
        <v>1</v>
      </c>
      <c r="M24" s="16">
        <v>3100</v>
      </c>
      <c r="N24" s="17">
        <f>IF($B24&lt;&gt;"Ja",0,IF(AND(1&gt;=$J24,1&lt;=$K24),IF($I24="Monatlich",$L24*$M24*VLOOKUP(Stammdaten!$B$9,Stammdaten!$A$13:$C$15,IF($C24="Einnahme",2,3),FALSE),IF($I24="Quartalsweise",IF(MOD(1-$J24,3)=0,$L24*$M24*VLOOKUP(Stammdaten!$B$9,Stammdaten!$A$13:$C$15,IF($C24="Einnahme",2,3),FALSE),0),IF($I24="Halbjährlich",IF(MOD(1-$J24,6)=0,$L24*$M24*VLOOKUP(Stammdaten!$B$9,Stammdaten!$A$13:$C$15,IF($C24="Einnahme",2,3),FALSE),0),IF($I24="Einmalig",IF(1=$J24,$L24*$M24*VLOOKUP(Stammdaten!$B$9,Stammdaten!$A$13:$C$15,IF($C24="Einnahme",2,3),FALSE),0),0)))),0))</f>
        <v>3100</v>
      </c>
      <c r="O24" s="16">
        <v>3350</v>
      </c>
      <c r="P24" s="17">
        <f>IF($B24&lt;&gt;"Ja",0,IF(AND(2&gt;=$J24,2&lt;=$K24),IF($I24="Monatlich",$L24*$M24*VLOOKUP(Stammdaten!$B$9,Stammdaten!$A$13:$C$15,IF($C24="Einnahme",2,3),FALSE),IF($I24="Quartalsweise",IF(MOD(2-$J24,3)=0,$L24*$M24*VLOOKUP(Stammdaten!$B$9,Stammdaten!$A$13:$C$15,IF($C24="Einnahme",2,3),FALSE),0),IF($I24="Halbjährlich",IF(MOD(2-$J24,6)=0,$L24*$M24*VLOOKUP(Stammdaten!$B$9,Stammdaten!$A$13:$C$15,IF($C24="Einnahme",2,3),FALSE),0),IF($I24="Einmalig",IF(2=$J24,$L24*$M24*VLOOKUP(Stammdaten!$B$9,Stammdaten!$A$13:$C$15,IF($C24="Einnahme",2,3),FALSE),0),0)))),0))</f>
        <v>3100</v>
      </c>
      <c r="Q24" s="16">
        <v>3250</v>
      </c>
      <c r="R24" s="17">
        <f>IF($B24&lt;&gt;"Ja",0,IF(AND(3&gt;=$J24,3&lt;=$K24),IF($I24="Monatlich",$L24*$M24*VLOOKUP(Stammdaten!$B$9,Stammdaten!$A$13:$C$15,IF($C24="Einnahme",2,3),FALSE),IF($I24="Quartalsweise",IF(MOD(3-$J24,3)=0,$L24*$M24*VLOOKUP(Stammdaten!$B$9,Stammdaten!$A$13:$C$15,IF($C24="Einnahme",2,3),FALSE),0),IF($I24="Halbjährlich",IF(MOD(3-$J24,6)=0,$L24*$M24*VLOOKUP(Stammdaten!$B$9,Stammdaten!$A$13:$C$15,IF($C24="Einnahme",2,3),FALSE),0),IF($I24="Einmalig",IF(3=$J24,$L24*$M24*VLOOKUP(Stammdaten!$B$9,Stammdaten!$A$13:$C$15,IF($C24="Einnahme",2,3),FALSE),0),0)))),0))</f>
        <v>3100</v>
      </c>
      <c r="S24" s="16">
        <v>3450</v>
      </c>
      <c r="T24" s="17">
        <f>IF($B24&lt;&gt;"Ja",0,IF(AND(4&gt;=$J24,4&lt;=$K24),IF($I24="Monatlich",$L24*$M24*VLOOKUP(Stammdaten!$B$9,Stammdaten!$A$13:$C$15,IF($C24="Einnahme",2,3),FALSE),IF($I24="Quartalsweise",IF(MOD(4-$J24,3)=0,$L24*$M24*VLOOKUP(Stammdaten!$B$9,Stammdaten!$A$13:$C$15,IF($C24="Einnahme",2,3),FALSE),0),IF($I24="Halbjährlich",IF(MOD(4-$J24,6)=0,$L24*$M24*VLOOKUP(Stammdaten!$B$9,Stammdaten!$A$13:$C$15,IF($C24="Einnahme",2,3),FALSE),0),IF($I24="Einmalig",IF(4=$J24,$L24*$M24*VLOOKUP(Stammdaten!$B$9,Stammdaten!$A$13:$C$15,IF($C24="Einnahme",2,3),FALSE),0),0)))),0))</f>
        <v>3100</v>
      </c>
      <c r="U24" s="16">
        <v>3200</v>
      </c>
      <c r="V24" s="17">
        <f>IF($B24&lt;&gt;"Ja",0,IF(AND(5&gt;=$J24,5&lt;=$K24),IF($I24="Monatlich",$L24*$M24*VLOOKUP(Stammdaten!$B$9,Stammdaten!$A$13:$C$15,IF($C24="Einnahme",2,3),FALSE),IF($I24="Quartalsweise",IF(MOD(5-$J24,3)=0,$L24*$M24*VLOOKUP(Stammdaten!$B$9,Stammdaten!$A$13:$C$15,IF($C24="Einnahme",2,3),FALSE),0),IF($I24="Halbjährlich",IF(MOD(5-$J24,6)=0,$L24*$M24*VLOOKUP(Stammdaten!$B$9,Stammdaten!$A$13:$C$15,IF($C24="Einnahme",2,3),FALSE),0),IF($I24="Einmalig",IF(5=$J24,$L24*$M24*VLOOKUP(Stammdaten!$B$9,Stammdaten!$A$13:$C$15,IF($C24="Einnahme",2,3),FALSE),0),0)))),0))</f>
        <v>3100</v>
      </c>
      <c r="W24" s="16">
        <v>3200</v>
      </c>
      <c r="X24" s="17">
        <f>IF($B24&lt;&gt;"Ja",0,IF(AND(6&gt;=$J24,6&lt;=$K24),IF($I24="Monatlich",$L24*$M24*VLOOKUP(Stammdaten!$B$9,Stammdaten!$A$13:$C$15,IF($C24="Einnahme",2,3),FALSE),IF($I24="Quartalsweise",IF(MOD(6-$J24,3)=0,$L24*$M24*VLOOKUP(Stammdaten!$B$9,Stammdaten!$A$13:$C$15,IF($C24="Einnahme",2,3),FALSE),0),IF($I24="Halbjährlich",IF(MOD(6-$J24,6)=0,$L24*$M24*VLOOKUP(Stammdaten!$B$9,Stammdaten!$A$13:$C$15,IF($C24="Einnahme",2,3),FALSE),0),IF($I24="Einmalig",IF(6=$J24,$L24*$M24*VLOOKUP(Stammdaten!$B$9,Stammdaten!$A$13:$C$15,IF($C24="Einnahme",2,3),FALSE),0),0)))),0))</f>
        <v>3100</v>
      </c>
      <c r="Y24" s="16">
        <v>3000</v>
      </c>
      <c r="Z24" s="17">
        <f>IF($B24&lt;&gt;"Ja",0,IF(AND(7&gt;=$J24,7&lt;=$K24),IF($I24="Monatlich",$L24*$M24*VLOOKUP(Stammdaten!$B$9,Stammdaten!$A$13:$C$15,IF($C24="Einnahme",2,3),FALSE),IF($I24="Quartalsweise",IF(MOD(7-$J24,3)=0,$L24*$M24*VLOOKUP(Stammdaten!$B$9,Stammdaten!$A$13:$C$15,IF($C24="Einnahme",2,3),FALSE),0),IF($I24="Halbjährlich",IF(MOD(7-$J24,6)=0,$L24*$M24*VLOOKUP(Stammdaten!$B$9,Stammdaten!$A$13:$C$15,IF($C24="Einnahme",2,3),FALSE),0),IF($I24="Einmalig",IF(7=$J24,$L24*$M24*VLOOKUP(Stammdaten!$B$9,Stammdaten!$A$13:$C$15,IF($C24="Einnahme",2,3),FALSE),0),0)))),0))</f>
        <v>3100</v>
      </c>
      <c r="AA24" s="16">
        <v>3050</v>
      </c>
      <c r="AB24" s="17">
        <f>IF($B24&lt;&gt;"Ja",0,IF(AND(8&gt;=$J24,8&lt;=$K24),IF($I24="Monatlich",$L24*$M24*VLOOKUP(Stammdaten!$B$9,Stammdaten!$A$13:$C$15,IF($C24="Einnahme",2,3),FALSE),IF($I24="Quartalsweise",IF(MOD(8-$J24,3)=0,$L24*$M24*VLOOKUP(Stammdaten!$B$9,Stammdaten!$A$13:$C$15,IF($C24="Einnahme",2,3),FALSE),0),IF($I24="Halbjährlich",IF(MOD(8-$J24,6)=0,$L24*$M24*VLOOKUP(Stammdaten!$B$9,Stammdaten!$A$13:$C$15,IF($C24="Einnahme",2,3),FALSE),0),IF($I24="Einmalig",IF(8=$J24,$L24*$M24*VLOOKUP(Stammdaten!$B$9,Stammdaten!$A$13:$C$15,IF($C24="Einnahme",2,3),FALSE),0),0)))),0))</f>
        <v>3100</v>
      </c>
      <c r="AC24" s="16">
        <v>3350</v>
      </c>
      <c r="AD24" s="17">
        <f>IF($B24&lt;&gt;"Ja",0,IF(AND(9&gt;=$J24,9&lt;=$K24),IF($I24="Monatlich",$L24*$M24*VLOOKUP(Stammdaten!$B$9,Stammdaten!$A$13:$C$15,IF($C24="Einnahme",2,3),FALSE),IF($I24="Quartalsweise",IF(MOD(9-$J24,3)=0,$L24*$M24*VLOOKUP(Stammdaten!$B$9,Stammdaten!$A$13:$C$15,IF($C24="Einnahme",2,3),FALSE),0),IF($I24="Halbjährlich",IF(MOD(9-$J24,6)=0,$L24*$M24*VLOOKUP(Stammdaten!$B$9,Stammdaten!$A$13:$C$15,IF($C24="Einnahme",2,3),FALSE),0),IF($I24="Einmalig",IF(9=$J24,$L24*$M24*VLOOKUP(Stammdaten!$B$9,Stammdaten!$A$13:$C$15,IF($C24="Einnahme",2,3),FALSE),0),0)))),0))</f>
        <v>3100</v>
      </c>
      <c r="AE24" s="16">
        <v>3200</v>
      </c>
      <c r="AF24" s="17">
        <f>IF($B24&lt;&gt;"Ja",0,IF(AND(10&gt;=$J24,10&lt;=$K24),IF($I24="Monatlich",$L24*$M24*VLOOKUP(Stammdaten!$B$9,Stammdaten!$A$13:$C$15,IF($C24="Einnahme",2,3),FALSE),IF($I24="Quartalsweise",IF(MOD(10-$J24,3)=0,$L24*$M24*VLOOKUP(Stammdaten!$B$9,Stammdaten!$A$13:$C$15,IF($C24="Einnahme",2,3),FALSE),0),IF($I24="Halbjährlich",IF(MOD(10-$J24,6)=0,$L24*$M24*VLOOKUP(Stammdaten!$B$9,Stammdaten!$A$13:$C$15,IF($C24="Einnahme",2,3),FALSE),0),IF($I24="Einmalig",IF(10=$J24,$L24*$M24*VLOOKUP(Stammdaten!$B$9,Stammdaten!$A$13:$C$15,IF($C24="Einnahme",2,3),FALSE),0),0)))),0))</f>
        <v>3100</v>
      </c>
      <c r="AG24" s="16">
        <v>3000</v>
      </c>
      <c r="AH24" s="17">
        <f>IF($B24&lt;&gt;"Ja",0,IF(AND(11&gt;=$J24,11&lt;=$K24),IF($I24="Monatlich",$L24*$M24*VLOOKUP(Stammdaten!$B$9,Stammdaten!$A$13:$C$15,IF($C24="Einnahme",2,3),FALSE),IF($I24="Quartalsweise",IF(MOD(11-$J24,3)=0,$L24*$M24*VLOOKUP(Stammdaten!$B$9,Stammdaten!$A$13:$C$15,IF($C24="Einnahme",2,3),FALSE),0),IF($I24="Halbjährlich",IF(MOD(11-$J24,6)=0,$L24*$M24*VLOOKUP(Stammdaten!$B$9,Stammdaten!$A$13:$C$15,IF($C24="Einnahme",2,3),FALSE),0),IF($I24="Einmalig",IF(11=$J24,$L24*$M24*VLOOKUP(Stammdaten!$B$9,Stammdaten!$A$13:$C$15,IF($C24="Einnahme",2,3),FALSE),0),0)))),0))</f>
        <v>3100</v>
      </c>
      <c r="AI24" s="16">
        <v>3000</v>
      </c>
      <c r="AJ24" s="17">
        <f>IF($B24&lt;&gt;"Ja",0,IF(AND(12&gt;=$J24,12&lt;=$K24),IF($I24="Monatlich",$L24*$M24*VLOOKUP(Stammdaten!$B$9,Stammdaten!$A$13:$C$15,IF($C24="Einnahme",2,3),FALSE),IF($I24="Quartalsweise",IF(MOD(12-$J24,3)=0,$L24*$M24*VLOOKUP(Stammdaten!$B$9,Stammdaten!$A$13:$C$15,IF($C24="Einnahme",2,3),FALSE),0),IF($I24="Halbjährlich",IF(MOD(12-$J24,6)=0,$L24*$M24*VLOOKUP(Stammdaten!$B$9,Stammdaten!$A$13:$C$15,IF($C24="Einnahme",2,3),FALSE),0),IF($I24="Einmalig",IF(12=$J24,$L24*$M24*VLOOKUP(Stammdaten!$B$9,Stammdaten!$A$13:$C$15,IF($C24="Einnahme",2,3),FALSE),0),0)))),0))</f>
        <v>3100</v>
      </c>
      <c r="AK24" s="16">
        <v>3000</v>
      </c>
      <c r="AL24" s="17">
        <f t="shared" si="0"/>
        <v>37200</v>
      </c>
      <c r="AM24" s="17">
        <f t="shared" si="1"/>
        <v>38050</v>
      </c>
      <c r="AN24" s="17">
        <f t="shared" si="2"/>
        <v>-850</v>
      </c>
      <c r="AO24" s="18">
        <f t="shared" si="3"/>
        <v>-2.2849462365591398E-2</v>
      </c>
      <c r="AP24" s="19" t="str">
        <f>IF(AN24&gt;=0,"Besser/Im Soll",IF(ABS(AO24)&lt;=Stammdaten!$B$7,"Im Soll",IF(ABS(AO24)&lt;=Stammdaten!$B$8,"Prüfen","Kritisch")))</f>
        <v>Im Soll</v>
      </c>
      <c r="AQ24" s="17">
        <f t="shared" si="4"/>
        <v>850</v>
      </c>
      <c r="AR24" s="14" t="s">
        <v>188</v>
      </c>
    </row>
    <row r="25" spans="1:44" x14ac:dyDescent="0.25">
      <c r="A25" s="14">
        <v>19</v>
      </c>
      <c r="B25" s="14" t="s">
        <v>100</v>
      </c>
      <c r="C25" s="14" t="s">
        <v>126</v>
      </c>
      <c r="D25" s="14" t="s">
        <v>113</v>
      </c>
      <c r="E25" s="14" t="s">
        <v>189</v>
      </c>
      <c r="F25" s="14" t="s">
        <v>190</v>
      </c>
      <c r="G25" s="14" t="s">
        <v>191</v>
      </c>
      <c r="H25" s="14" t="s">
        <v>117</v>
      </c>
      <c r="I25" s="14" t="s">
        <v>107</v>
      </c>
      <c r="J25" s="15">
        <v>1</v>
      </c>
      <c r="K25" s="15">
        <v>12</v>
      </c>
      <c r="L25" s="15">
        <v>1</v>
      </c>
      <c r="M25" s="16">
        <v>1500</v>
      </c>
      <c r="N25" s="17">
        <f>IF($B25&lt;&gt;"Ja",0,IF(AND(1&gt;=$J25,1&lt;=$K25),IF($I25="Monatlich",$L25*$M25*VLOOKUP(Stammdaten!$B$9,Stammdaten!$A$13:$C$15,IF($C25="Einnahme",2,3),FALSE),IF($I25="Quartalsweise",IF(MOD(1-$J25,3)=0,$L25*$M25*VLOOKUP(Stammdaten!$B$9,Stammdaten!$A$13:$C$15,IF($C25="Einnahme",2,3),FALSE),0),IF($I25="Halbjährlich",IF(MOD(1-$J25,6)=0,$L25*$M25*VLOOKUP(Stammdaten!$B$9,Stammdaten!$A$13:$C$15,IF($C25="Einnahme",2,3),FALSE),0),IF($I25="Einmalig",IF(1=$J25,$L25*$M25*VLOOKUP(Stammdaten!$B$9,Stammdaten!$A$13:$C$15,IF($C25="Einnahme",2,3),FALSE),0),0)))),0))</f>
        <v>1500</v>
      </c>
      <c r="O25" s="16">
        <v>1450</v>
      </c>
      <c r="P25" s="17">
        <f>IF($B25&lt;&gt;"Ja",0,IF(AND(2&gt;=$J25,2&lt;=$K25),IF($I25="Monatlich",$L25*$M25*VLOOKUP(Stammdaten!$B$9,Stammdaten!$A$13:$C$15,IF($C25="Einnahme",2,3),FALSE),IF($I25="Quartalsweise",IF(MOD(2-$J25,3)=0,$L25*$M25*VLOOKUP(Stammdaten!$B$9,Stammdaten!$A$13:$C$15,IF($C25="Einnahme",2,3),FALSE),0),IF($I25="Halbjährlich",IF(MOD(2-$J25,6)=0,$L25*$M25*VLOOKUP(Stammdaten!$B$9,Stammdaten!$A$13:$C$15,IF($C25="Einnahme",2,3),FALSE),0),IF($I25="Einmalig",IF(2=$J25,$L25*$M25*VLOOKUP(Stammdaten!$B$9,Stammdaten!$A$13:$C$15,IF($C25="Einnahme",2,3),FALSE),0),0)))),0))</f>
        <v>1500</v>
      </c>
      <c r="Q25" s="16">
        <v>1450</v>
      </c>
      <c r="R25" s="17">
        <f>IF($B25&lt;&gt;"Ja",0,IF(AND(3&gt;=$J25,3&lt;=$K25),IF($I25="Monatlich",$L25*$M25*VLOOKUP(Stammdaten!$B$9,Stammdaten!$A$13:$C$15,IF($C25="Einnahme",2,3),FALSE),IF($I25="Quartalsweise",IF(MOD(3-$J25,3)=0,$L25*$M25*VLOOKUP(Stammdaten!$B$9,Stammdaten!$A$13:$C$15,IF($C25="Einnahme",2,3),FALSE),0),IF($I25="Halbjährlich",IF(MOD(3-$J25,6)=0,$L25*$M25*VLOOKUP(Stammdaten!$B$9,Stammdaten!$A$13:$C$15,IF($C25="Einnahme",2,3),FALSE),0),IF($I25="Einmalig",IF(3=$J25,$L25*$M25*VLOOKUP(Stammdaten!$B$9,Stammdaten!$A$13:$C$15,IF($C25="Einnahme",2,3),FALSE),0),0)))),0))</f>
        <v>1500</v>
      </c>
      <c r="S25" s="16">
        <v>1500</v>
      </c>
      <c r="T25" s="17">
        <f>IF($B25&lt;&gt;"Ja",0,IF(AND(4&gt;=$J25,4&lt;=$K25),IF($I25="Monatlich",$L25*$M25*VLOOKUP(Stammdaten!$B$9,Stammdaten!$A$13:$C$15,IF($C25="Einnahme",2,3),FALSE),IF($I25="Quartalsweise",IF(MOD(4-$J25,3)=0,$L25*$M25*VLOOKUP(Stammdaten!$B$9,Stammdaten!$A$13:$C$15,IF($C25="Einnahme",2,3),FALSE),0),IF($I25="Halbjährlich",IF(MOD(4-$J25,6)=0,$L25*$M25*VLOOKUP(Stammdaten!$B$9,Stammdaten!$A$13:$C$15,IF($C25="Einnahme",2,3),FALSE),0),IF($I25="Einmalig",IF(4=$J25,$L25*$M25*VLOOKUP(Stammdaten!$B$9,Stammdaten!$A$13:$C$15,IF($C25="Einnahme",2,3),FALSE),0),0)))),0))</f>
        <v>1500</v>
      </c>
      <c r="U25" s="16">
        <v>1500</v>
      </c>
      <c r="V25" s="17">
        <f>IF($B25&lt;&gt;"Ja",0,IF(AND(5&gt;=$J25,5&lt;=$K25),IF($I25="Monatlich",$L25*$M25*VLOOKUP(Stammdaten!$B$9,Stammdaten!$A$13:$C$15,IF($C25="Einnahme",2,3),FALSE),IF($I25="Quartalsweise",IF(MOD(5-$J25,3)=0,$L25*$M25*VLOOKUP(Stammdaten!$B$9,Stammdaten!$A$13:$C$15,IF($C25="Einnahme",2,3),FALSE),0),IF($I25="Halbjährlich",IF(MOD(5-$J25,6)=0,$L25*$M25*VLOOKUP(Stammdaten!$B$9,Stammdaten!$A$13:$C$15,IF($C25="Einnahme",2,3),FALSE),0),IF($I25="Einmalig",IF(5=$J25,$L25*$M25*VLOOKUP(Stammdaten!$B$9,Stammdaten!$A$13:$C$15,IF($C25="Einnahme",2,3),FALSE),0),0)))),0))</f>
        <v>1500</v>
      </c>
      <c r="W25" s="16">
        <v>1550</v>
      </c>
      <c r="X25" s="17">
        <f>IF($B25&lt;&gt;"Ja",0,IF(AND(6&gt;=$J25,6&lt;=$K25),IF($I25="Monatlich",$L25*$M25*VLOOKUP(Stammdaten!$B$9,Stammdaten!$A$13:$C$15,IF($C25="Einnahme",2,3),FALSE),IF($I25="Quartalsweise",IF(MOD(6-$J25,3)=0,$L25*$M25*VLOOKUP(Stammdaten!$B$9,Stammdaten!$A$13:$C$15,IF($C25="Einnahme",2,3),FALSE),0),IF($I25="Halbjährlich",IF(MOD(6-$J25,6)=0,$L25*$M25*VLOOKUP(Stammdaten!$B$9,Stammdaten!$A$13:$C$15,IF($C25="Einnahme",2,3),FALSE),0),IF($I25="Einmalig",IF(6=$J25,$L25*$M25*VLOOKUP(Stammdaten!$B$9,Stammdaten!$A$13:$C$15,IF($C25="Einnahme",2,3),FALSE),0),0)))),0))</f>
        <v>1500</v>
      </c>
      <c r="Y25" s="16">
        <v>1450</v>
      </c>
      <c r="Z25" s="17">
        <f>IF($B25&lt;&gt;"Ja",0,IF(AND(7&gt;=$J25,7&lt;=$K25),IF($I25="Monatlich",$L25*$M25*VLOOKUP(Stammdaten!$B$9,Stammdaten!$A$13:$C$15,IF($C25="Einnahme",2,3),FALSE),IF($I25="Quartalsweise",IF(MOD(7-$J25,3)=0,$L25*$M25*VLOOKUP(Stammdaten!$B$9,Stammdaten!$A$13:$C$15,IF($C25="Einnahme",2,3),FALSE),0),IF($I25="Halbjährlich",IF(MOD(7-$J25,6)=0,$L25*$M25*VLOOKUP(Stammdaten!$B$9,Stammdaten!$A$13:$C$15,IF($C25="Einnahme",2,3),FALSE),0),IF($I25="Einmalig",IF(7=$J25,$L25*$M25*VLOOKUP(Stammdaten!$B$9,Stammdaten!$A$13:$C$15,IF($C25="Einnahme",2,3),FALSE),0),0)))),0))</f>
        <v>1500</v>
      </c>
      <c r="AA25" s="16">
        <v>1550</v>
      </c>
      <c r="AB25" s="17">
        <f>IF($B25&lt;&gt;"Ja",0,IF(AND(8&gt;=$J25,8&lt;=$K25),IF($I25="Monatlich",$L25*$M25*VLOOKUP(Stammdaten!$B$9,Stammdaten!$A$13:$C$15,IF($C25="Einnahme",2,3),FALSE),IF($I25="Quartalsweise",IF(MOD(8-$J25,3)=0,$L25*$M25*VLOOKUP(Stammdaten!$B$9,Stammdaten!$A$13:$C$15,IF($C25="Einnahme",2,3),FALSE),0),IF($I25="Halbjährlich",IF(MOD(8-$J25,6)=0,$L25*$M25*VLOOKUP(Stammdaten!$B$9,Stammdaten!$A$13:$C$15,IF($C25="Einnahme",2,3),FALSE),0),IF($I25="Einmalig",IF(8=$J25,$L25*$M25*VLOOKUP(Stammdaten!$B$9,Stammdaten!$A$13:$C$15,IF($C25="Einnahme",2,3),FALSE),0),0)))),0))</f>
        <v>1500</v>
      </c>
      <c r="AC25" s="16">
        <v>1650</v>
      </c>
      <c r="AD25" s="17">
        <f>IF($B25&lt;&gt;"Ja",0,IF(AND(9&gt;=$J25,9&lt;=$K25),IF($I25="Monatlich",$L25*$M25*VLOOKUP(Stammdaten!$B$9,Stammdaten!$A$13:$C$15,IF($C25="Einnahme",2,3),FALSE),IF($I25="Quartalsweise",IF(MOD(9-$J25,3)=0,$L25*$M25*VLOOKUP(Stammdaten!$B$9,Stammdaten!$A$13:$C$15,IF($C25="Einnahme",2,3),FALSE),0),IF($I25="Halbjährlich",IF(MOD(9-$J25,6)=0,$L25*$M25*VLOOKUP(Stammdaten!$B$9,Stammdaten!$A$13:$C$15,IF($C25="Einnahme",2,3),FALSE),0),IF($I25="Einmalig",IF(9=$J25,$L25*$M25*VLOOKUP(Stammdaten!$B$9,Stammdaten!$A$13:$C$15,IF($C25="Einnahme",2,3),FALSE),0),0)))),0))</f>
        <v>1500</v>
      </c>
      <c r="AE25" s="16">
        <v>1650</v>
      </c>
      <c r="AF25" s="17">
        <f>IF($B25&lt;&gt;"Ja",0,IF(AND(10&gt;=$J25,10&lt;=$K25),IF($I25="Monatlich",$L25*$M25*VLOOKUP(Stammdaten!$B$9,Stammdaten!$A$13:$C$15,IF($C25="Einnahme",2,3),FALSE),IF($I25="Quartalsweise",IF(MOD(10-$J25,3)=0,$L25*$M25*VLOOKUP(Stammdaten!$B$9,Stammdaten!$A$13:$C$15,IF($C25="Einnahme",2,3),FALSE),0),IF($I25="Halbjährlich",IF(MOD(10-$J25,6)=0,$L25*$M25*VLOOKUP(Stammdaten!$B$9,Stammdaten!$A$13:$C$15,IF($C25="Einnahme",2,3),FALSE),0),IF($I25="Einmalig",IF(10=$J25,$L25*$M25*VLOOKUP(Stammdaten!$B$9,Stammdaten!$A$13:$C$15,IF($C25="Einnahme",2,3),FALSE),0),0)))),0))</f>
        <v>1500</v>
      </c>
      <c r="AG25" s="16">
        <v>1600</v>
      </c>
      <c r="AH25" s="17">
        <f>IF($B25&lt;&gt;"Ja",0,IF(AND(11&gt;=$J25,11&lt;=$K25),IF($I25="Monatlich",$L25*$M25*VLOOKUP(Stammdaten!$B$9,Stammdaten!$A$13:$C$15,IF($C25="Einnahme",2,3),FALSE),IF($I25="Quartalsweise",IF(MOD(11-$J25,3)=0,$L25*$M25*VLOOKUP(Stammdaten!$B$9,Stammdaten!$A$13:$C$15,IF($C25="Einnahme",2,3),FALSE),0),IF($I25="Halbjährlich",IF(MOD(11-$J25,6)=0,$L25*$M25*VLOOKUP(Stammdaten!$B$9,Stammdaten!$A$13:$C$15,IF($C25="Einnahme",2,3),FALSE),0),IF($I25="Einmalig",IF(11=$J25,$L25*$M25*VLOOKUP(Stammdaten!$B$9,Stammdaten!$A$13:$C$15,IF($C25="Einnahme",2,3),FALSE),0),0)))),0))</f>
        <v>1500</v>
      </c>
      <c r="AI25" s="16">
        <v>1550</v>
      </c>
      <c r="AJ25" s="17">
        <f>IF($B25&lt;&gt;"Ja",0,IF(AND(12&gt;=$J25,12&lt;=$K25),IF($I25="Monatlich",$L25*$M25*VLOOKUP(Stammdaten!$B$9,Stammdaten!$A$13:$C$15,IF($C25="Einnahme",2,3),FALSE),IF($I25="Quartalsweise",IF(MOD(12-$J25,3)=0,$L25*$M25*VLOOKUP(Stammdaten!$B$9,Stammdaten!$A$13:$C$15,IF($C25="Einnahme",2,3),FALSE),0),IF($I25="Halbjährlich",IF(MOD(12-$J25,6)=0,$L25*$M25*VLOOKUP(Stammdaten!$B$9,Stammdaten!$A$13:$C$15,IF($C25="Einnahme",2,3),FALSE),0),IF($I25="Einmalig",IF(12=$J25,$L25*$M25*VLOOKUP(Stammdaten!$B$9,Stammdaten!$A$13:$C$15,IF($C25="Einnahme",2,3),FALSE),0),0)))),0))</f>
        <v>1500</v>
      </c>
      <c r="AK25" s="16">
        <v>1650</v>
      </c>
      <c r="AL25" s="17">
        <f t="shared" si="0"/>
        <v>18000</v>
      </c>
      <c r="AM25" s="17">
        <f t="shared" si="1"/>
        <v>18550</v>
      </c>
      <c r="AN25" s="17">
        <f t="shared" si="2"/>
        <v>-550</v>
      </c>
      <c r="AO25" s="18">
        <f t="shared" si="3"/>
        <v>-3.0555555555555555E-2</v>
      </c>
      <c r="AP25" s="19" t="str">
        <f>IF(AN25&gt;=0,"Besser/Im Soll",IF(ABS(AO25)&lt;=Stammdaten!$B$7,"Im Soll",IF(ABS(AO25)&lt;=Stammdaten!$B$8,"Prüfen","Kritisch")))</f>
        <v>Im Soll</v>
      </c>
      <c r="AQ25" s="17">
        <f t="shared" si="4"/>
        <v>550</v>
      </c>
      <c r="AR25" s="14" t="s">
        <v>192</v>
      </c>
    </row>
    <row r="26" spans="1:4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5"/>
      <c r="K26" s="15"/>
      <c r="L26" s="15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6"/>
      <c r="AH26" s="17"/>
      <c r="AI26" s="16"/>
      <c r="AJ26" s="17"/>
      <c r="AK26" s="16"/>
      <c r="AL26" s="17"/>
      <c r="AM26" s="17"/>
      <c r="AN26" s="17"/>
      <c r="AO26" s="18"/>
      <c r="AP26" s="19"/>
      <c r="AQ26" s="17"/>
      <c r="AR26" s="14"/>
    </row>
    <row r="27" spans="1:4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5"/>
      <c r="K27" s="15"/>
      <c r="L27" s="15"/>
      <c r="M27" s="16"/>
      <c r="N27" s="17"/>
      <c r="O27" s="16"/>
      <c r="P27" s="17"/>
      <c r="Q27" s="16"/>
      <c r="R27" s="17"/>
      <c r="S27" s="16"/>
      <c r="T27" s="17"/>
      <c r="U27" s="16"/>
      <c r="V27" s="17"/>
      <c r="W27" s="16"/>
      <c r="X27" s="17"/>
      <c r="Y27" s="16"/>
      <c r="Z27" s="17"/>
      <c r="AA27" s="16"/>
      <c r="AB27" s="17"/>
      <c r="AC27" s="16"/>
      <c r="AD27" s="17"/>
      <c r="AE27" s="16"/>
      <c r="AF27" s="17"/>
      <c r="AG27" s="16"/>
      <c r="AH27" s="17"/>
      <c r="AI27" s="16"/>
      <c r="AJ27" s="17"/>
      <c r="AK27" s="16"/>
      <c r="AL27" s="17"/>
      <c r="AM27" s="17"/>
      <c r="AN27" s="17"/>
      <c r="AO27" s="18"/>
      <c r="AP27" s="19"/>
      <c r="AQ27" s="17"/>
      <c r="AR27" s="14"/>
    </row>
    <row r="28" spans="1:4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6"/>
      <c r="AH28" s="17"/>
      <c r="AI28" s="16"/>
      <c r="AJ28" s="17"/>
      <c r="AK28" s="16"/>
      <c r="AL28" s="17"/>
      <c r="AM28" s="17"/>
      <c r="AN28" s="17"/>
      <c r="AO28" s="18"/>
      <c r="AP28" s="19"/>
      <c r="AQ28" s="17"/>
      <c r="AR28" s="14"/>
    </row>
    <row r="29" spans="1:4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15"/>
      <c r="L29" s="15"/>
      <c r="M29" s="16"/>
      <c r="N29" s="17"/>
      <c r="O29" s="16"/>
      <c r="P29" s="17"/>
      <c r="Q29" s="16"/>
      <c r="R29" s="17"/>
      <c r="S29" s="16"/>
      <c r="T29" s="17"/>
      <c r="U29" s="16"/>
      <c r="V29" s="17"/>
      <c r="W29" s="16"/>
      <c r="X29" s="17"/>
      <c r="Y29" s="16"/>
      <c r="Z29" s="17"/>
      <c r="AA29" s="16"/>
      <c r="AB29" s="17"/>
      <c r="AC29" s="16"/>
      <c r="AD29" s="17"/>
      <c r="AE29" s="16"/>
      <c r="AF29" s="17"/>
      <c r="AG29" s="16"/>
      <c r="AH29" s="17"/>
      <c r="AI29" s="16"/>
      <c r="AJ29" s="17"/>
      <c r="AK29" s="16"/>
      <c r="AL29" s="17"/>
      <c r="AM29" s="17"/>
      <c r="AN29" s="17"/>
      <c r="AO29" s="18"/>
      <c r="AP29" s="19"/>
      <c r="AQ29" s="17"/>
      <c r="AR29" s="14"/>
    </row>
    <row r="30" spans="1:4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6"/>
      <c r="AH30" s="17"/>
      <c r="AI30" s="16"/>
      <c r="AJ30" s="17"/>
      <c r="AK30" s="16"/>
      <c r="AL30" s="17"/>
      <c r="AM30" s="17"/>
      <c r="AN30" s="17"/>
      <c r="AO30" s="18"/>
      <c r="AP30" s="19"/>
      <c r="AQ30" s="17"/>
      <c r="AR30" s="14"/>
    </row>
    <row r="31" spans="1:4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5"/>
      <c r="L31" s="15"/>
      <c r="M31" s="16"/>
      <c r="N31" s="17"/>
      <c r="O31" s="16"/>
      <c r="P31" s="17"/>
      <c r="Q31" s="16"/>
      <c r="R31" s="17"/>
      <c r="S31" s="16"/>
      <c r="T31" s="17"/>
      <c r="U31" s="16"/>
      <c r="V31" s="17"/>
      <c r="W31" s="16"/>
      <c r="X31" s="17"/>
      <c r="Y31" s="16"/>
      <c r="Z31" s="17"/>
      <c r="AA31" s="16"/>
      <c r="AB31" s="17"/>
      <c r="AC31" s="16"/>
      <c r="AD31" s="17"/>
      <c r="AE31" s="16"/>
      <c r="AF31" s="17"/>
      <c r="AG31" s="16"/>
      <c r="AH31" s="17"/>
      <c r="AI31" s="16"/>
      <c r="AJ31" s="17"/>
      <c r="AK31" s="16"/>
      <c r="AL31" s="17"/>
      <c r="AM31" s="17"/>
      <c r="AN31" s="17"/>
      <c r="AO31" s="18"/>
      <c r="AP31" s="19"/>
      <c r="AQ31" s="17"/>
      <c r="AR31" s="14"/>
    </row>
    <row r="32" spans="1:4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6"/>
      <c r="AH32" s="17"/>
      <c r="AI32" s="16"/>
      <c r="AJ32" s="17"/>
      <c r="AK32" s="16"/>
      <c r="AL32" s="17"/>
      <c r="AM32" s="17"/>
      <c r="AN32" s="17"/>
      <c r="AO32" s="18"/>
      <c r="AP32" s="19"/>
      <c r="AQ32" s="17"/>
      <c r="AR32" s="14"/>
    </row>
    <row r="33" spans="1:4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6"/>
      <c r="N33" s="17"/>
      <c r="O33" s="16"/>
      <c r="P33" s="17"/>
      <c r="Q33" s="16"/>
      <c r="R33" s="17"/>
      <c r="S33" s="16"/>
      <c r="T33" s="17"/>
      <c r="U33" s="16"/>
      <c r="V33" s="17"/>
      <c r="W33" s="16"/>
      <c r="X33" s="17"/>
      <c r="Y33" s="16"/>
      <c r="Z33" s="17"/>
      <c r="AA33" s="16"/>
      <c r="AB33" s="17"/>
      <c r="AC33" s="16"/>
      <c r="AD33" s="17"/>
      <c r="AE33" s="16"/>
      <c r="AF33" s="17"/>
      <c r="AG33" s="16"/>
      <c r="AH33" s="17"/>
      <c r="AI33" s="16"/>
      <c r="AJ33" s="17"/>
      <c r="AK33" s="16"/>
      <c r="AL33" s="17"/>
      <c r="AM33" s="17"/>
      <c r="AN33" s="17"/>
      <c r="AO33" s="18"/>
      <c r="AP33" s="19"/>
      <c r="AQ33" s="17"/>
      <c r="AR33" s="14"/>
    </row>
    <row r="34" spans="1:4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6"/>
      <c r="AH34" s="17"/>
      <c r="AI34" s="16"/>
      <c r="AJ34" s="17"/>
      <c r="AK34" s="16"/>
      <c r="AL34" s="17"/>
      <c r="AM34" s="17"/>
      <c r="AN34" s="17"/>
      <c r="AO34" s="18"/>
      <c r="AP34" s="19"/>
      <c r="AQ34" s="17"/>
      <c r="AR34" s="14"/>
    </row>
    <row r="35" spans="1:4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5"/>
      <c r="K35" s="15"/>
      <c r="L35" s="15"/>
      <c r="M35" s="16"/>
      <c r="N35" s="17"/>
      <c r="O35" s="16"/>
      <c r="P35" s="17"/>
      <c r="Q35" s="16"/>
      <c r="R35" s="17"/>
      <c r="S35" s="16"/>
      <c r="T35" s="17"/>
      <c r="U35" s="16"/>
      <c r="V35" s="17"/>
      <c r="W35" s="16"/>
      <c r="X35" s="17"/>
      <c r="Y35" s="16"/>
      <c r="Z35" s="17"/>
      <c r="AA35" s="16"/>
      <c r="AB35" s="17"/>
      <c r="AC35" s="16"/>
      <c r="AD35" s="17"/>
      <c r="AE35" s="16"/>
      <c r="AF35" s="17"/>
      <c r="AG35" s="16"/>
      <c r="AH35" s="17"/>
      <c r="AI35" s="16"/>
      <c r="AJ35" s="17"/>
      <c r="AK35" s="16"/>
      <c r="AL35" s="17"/>
      <c r="AM35" s="17"/>
      <c r="AN35" s="17"/>
      <c r="AO35" s="18"/>
      <c r="AP35" s="19"/>
      <c r="AQ35" s="17"/>
      <c r="AR35" s="14"/>
    </row>
    <row r="36" spans="1:4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5"/>
      <c r="K36" s="15"/>
      <c r="L36" s="15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6"/>
      <c r="AH36" s="17"/>
      <c r="AI36" s="16"/>
      <c r="AJ36" s="17"/>
      <c r="AK36" s="16"/>
      <c r="AL36" s="17"/>
      <c r="AM36" s="17"/>
      <c r="AN36" s="17"/>
      <c r="AO36" s="18"/>
      <c r="AP36" s="19"/>
      <c r="AQ36" s="17"/>
      <c r="AR36" s="14"/>
    </row>
    <row r="37" spans="1:4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5"/>
      <c r="K37" s="15"/>
      <c r="L37" s="15"/>
      <c r="M37" s="16"/>
      <c r="N37" s="17"/>
      <c r="O37" s="16"/>
      <c r="P37" s="17"/>
      <c r="Q37" s="16"/>
      <c r="R37" s="17"/>
      <c r="S37" s="16"/>
      <c r="T37" s="17"/>
      <c r="U37" s="16"/>
      <c r="V37" s="17"/>
      <c r="W37" s="16"/>
      <c r="X37" s="17"/>
      <c r="Y37" s="16"/>
      <c r="Z37" s="17"/>
      <c r="AA37" s="16"/>
      <c r="AB37" s="17"/>
      <c r="AC37" s="16"/>
      <c r="AD37" s="17"/>
      <c r="AE37" s="16"/>
      <c r="AF37" s="17"/>
      <c r="AG37" s="16"/>
      <c r="AH37" s="17"/>
      <c r="AI37" s="16"/>
      <c r="AJ37" s="17"/>
      <c r="AK37" s="16"/>
      <c r="AL37" s="17"/>
      <c r="AM37" s="17"/>
      <c r="AN37" s="17"/>
      <c r="AO37" s="18"/>
      <c r="AP37" s="19"/>
      <c r="AQ37" s="17"/>
      <c r="AR37" s="14"/>
    </row>
    <row r="38" spans="1:4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6"/>
      <c r="AH38" s="17"/>
      <c r="AI38" s="16"/>
      <c r="AJ38" s="17"/>
      <c r="AK38" s="16"/>
      <c r="AL38" s="17"/>
      <c r="AM38" s="17"/>
      <c r="AN38" s="17"/>
      <c r="AO38" s="18"/>
      <c r="AP38" s="19"/>
      <c r="AQ38" s="17"/>
      <c r="AR38" s="14"/>
    </row>
    <row r="39" spans="1:4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16"/>
      <c r="N39" s="17"/>
      <c r="O39" s="16"/>
      <c r="P39" s="17"/>
      <c r="Q39" s="16"/>
      <c r="R39" s="17"/>
      <c r="S39" s="16"/>
      <c r="T39" s="17"/>
      <c r="U39" s="16"/>
      <c r="V39" s="17"/>
      <c r="W39" s="16"/>
      <c r="X39" s="17"/>
      <c r="Y39" s="16"/>
      <c r="Z39" s="17"/>
      <c r="AA39" s="16"/>
      <c r="AB39" s="17"/>
      <c r="AC39" s="16"/>
      <c r="AD39" s="17"/>
      <c r="AE39" s="16"/>
      <c r="AF39" s="17"/>
      <c r="AG39" s="16"/>
      <c r="AH39" s="17"/>
      <c r="AI39" s="16"/>
      <c r="AJ39" s="17"/>
      <c r="AK39" s="16"/>
      <c r="AL39" s="17"/>
      <c r="AM39" s="17"/>
      <c r="AN39" s="17"/>
      <c r="AO39" s="18"/>
      <c r="AP39" s="19"/>
      <c r="AQ39" s="17"/>
      <c r="AR39" s="14"/>
    </row>
    <row r="40" spans="1:44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5"/>
      <c r="K40" s="15"/>
      <c r="L40" s="15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6"/>
      <c r="AH40" s="17"/>
      <c r="AI40" s="16"/>
      <c r="AJ40" s="17"/>
      <c r="AK40" s="16"/>
      <c r="AL40" s="17"/>
      <c r="AM40" s="17"/>
      <c r="AN40" s="17"/>
      <c r="AO40" s="18"/>
      <c r="AP40" s="19"/>
      <c r="AQ40" s="17"/>
      <c r="AR40" s="14"/>
    </row>
    <row r="41" spans="1:44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6"/>
      <c r="N41" s="17"/>
      <c r="O41" s="16"/>
      <c r="P41" s="17"/>
      <c r="Q41" s="16"/>
      <c r="R41" s="17"/>
      <c r="S41" s="16"/>
      <c r="T41" s="17"/>
      <c r="U41" s="16"/>
      <c r="V41" s="17"/>
      <c r="W41" s="16"/>
      <c r="X41" s="17"/>
      <c r="Y41" s="16"/>
      <c r="Z41" s="17"/>
      <c r="AA41" s="16"/>
      <c r="AB41" s="17"/>
      <c r="AC41" s="16"/>
      <c r="AD41" s="17"/>
      <c r="AE41" s="16"/>
      <c r="AF41" s="17"/>
      <c r="AG41" s="16"/>
      <c r="AH41" s="17"/>
      <c r="AI41" s="16"/>
      <c r="AJ41" s="17"/>
      <c r="AK41" s="16"/>
      <c r="AL41" s="17"/>
      <c r="AM41" s="17"/>
      <c r="AN41" s="17"/>
      <c r="AO41" s="18"/>
      <c r="AP41" s="19"/>
      <c r="AQ41" s="17"/>
      <c r="AR41" s="14"/>
    </row>
    <row r="42" spans="1:44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6"/>
      <c r="AH42" s="17"/>
      <c r="AI42" s="16"/>
      <c r="AJ42" s="17"/>
      <c r="AK42" s="16"/>
      <c r="AL42" s="17"/>
      <c r="AM42" s="17"/>
      <c r="AN42" s="17"/>
      <c r="AO42" s="18"/>
      <c r="AP42" s="19"/>
      <c r="AQ42" s="17"/>
      <c r="AR42" s="14"/>
    </row>
    <row r="43" spans="1:44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5"/>
      <c r="K43" s="15"/>
      <c r="L43" s="15"/>
      <c r="M43" s="16"/>
      <c r="N43" s="17"/>
      <c r="O43" s="16"/>
      <c r="P43" s="17"/>
      <c r="Q43" s="16"/>
      <c r="R43" s="17"/>
      <c r="S43" s="16"/>
      <c r="T43" s="17"/>
      <c r="U43" s="16"/>
      <c r="V43" s="17"/>
      <c r="W43" s="16"/>
      <c r="X43" s="17"/>
      <c r="Y43" s="16"/>
      <c r="Z43" s="17"/>
      <c r="AA43" s="16"/>
      <c r="AB43" s="17"/>
      <c r="AC43" s="16"/>
      <c r="AD43" s="17"/>
      <c r="AE43" s="16"/>
      <c r="AF43" s="17"/>
      <c r="AG43" s="16"/>
      <c r="AH43" s="17"/>
      <c r="AI43" s="16"/>
      <c r="AJ43" s="17"/>
      <c r="AK43" s="16"/>
      <c r="AL43" s="17"/>
      <c r="AM43" s="17"/>
      <c r="AN43" s="17"/>
      <c r="AO43" s="18"/>
      <c r="AP43" s="19"/>
      <c r="AQ43" s="17"/>
      <c r="AR43" s="14"/>
    </row>
    <row r="44" spans="1:4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5"/>
      <c r="K44" s="15"/>
      <c r="L44" s="15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6"/>
      <c r="AH44" s="17"/>
      <c r="AI44" s="16"/>
      <c r="AJ44" s="17"/>
      <c r="AK44" s="16"/>
      <c r="AL44" s="17"/>
      <c r="AM44" s="17"/>
      <c r="AN44" s="17"/>
      <c r="AO44" s="18"/>
      <c r="AP44" s="19"/>
      <c r="AQ44" s="17"/>
      <c r="AR44" s="14"/>
    </row>
    <row r="45" spans="1:4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5"/>
      <c r="K45" s="15"/>
      <c r="L45" s="15"/>
      <c r="M45" s="16"/>
      <c r="N45" s="17"/>
      <c r="O45" s="16"/>
      <c r="P45" s="17"/>
      <c r="Q45" s="16"/>
      <c r="R45" s="17"/>
      <c r="S45" s="16"/>
      <c r="T45" s="17"/>
      <c r="U45" s="16"/>
      <c r="V45" s="17"/>
      <c r="W45" s="16"/>
      <c r="X45" s="17"/>
      <c r="Y45" s="16"/>
      <c r="Z45" s="17"/>
      <c r="AA45" s="16"/>
      <c r="AB45" s="17"/>
      <c r="AC45" s="16"/>
      <c r="AD45" s="17"/>
      <c r="AE45" s="16"/>
      <c r="AF45" s="17"/>
      <c r="AG45" s="16"/>
      <c r="AH45" s="17"/>
      <c r="AI45" s="16"/>
      <c r="AJ45" s="17"/>
      <c r="AK45" s="16"/>
      <c r="AL45" s="17"/>
      <c r="AM45" s="17"/>
      <c r="AN45" s="17"/>
      <c r="AO45" s="18"/>
      <c r="AP45" s="19"/>
      <c r="AQ45" s="17"/>
      <c r="AR45" s="14"/>
    </row>
    <row r="46" spans="1:4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5"/>
      <c r="K46" s="15"/>
      <c r="L46" s="15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6"/>
      <c r="AH46" s="17"/>
      <c r="AI46" s="16"/>
      <c r="AJ46" s="17"/>
      <c r="AK46" s="16"/>
      <c r="AL46" s="17"/>
      <c r="AM46" s="17"/>
      <c r="AN46" s="17"/>
      <c r="AO46" s="18"/>
      <c r="AP46" s="19"/>
      <c r="AQ46" s="17"/>
      <c r="AR46" s="14"/>
    </row>
    <row r="47" spans="1:4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5"/>
      <c r="K47" s="15"/>
      <c r="L47" s="15"/>
      <c r="M47" s="16"/>
      <c r="N47" s="17"/>
      <c r="O47" s="16"/>
      <c r="P47" s="17"/>
      <c r="Q47" s="16"/>
      <c r="R47" s="17"/>
      <c r="S47" s="16"/>
      <c r="T47" s="17"/>
      <c r="U47" s="16"/>
      <c r="V47" s="17"/>
      <c r="W47" s="16"/>
      <c r="X47" s="17"/>
      <c r="Y47" s="16"/>
      <c r="Z47" s="17"/>
      <c r="AA47" s="16"/>
      <c r="AB47" s="17"/>
      <c r="AC47" s="16"/>
      <c r="AD47" s="17"/>
      <c r="AE47" s="16"/>
      <c r="AF47" s="17"/>
      <c r="AG47" s="16"/>
      <c r="AH47" s="17"/>
      <c r="AI47" s="16"/>
      <c r="AJ47" s="17"/>
      <c r="AK47" s="16"/>
      <c r="AL47" s="17"/>
      <c r="AM47" s="17"/>
      <c r="AN47" s="17"/>
      <c r="AO47" s="18"/>
      <c r="AP47" s="19"/>
      <c r="AQ47" s="17"/>
      <c r="AR47" s="14"/>
    </row>
    <row r="48" spans="1:4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6"/>
      <c r="AH48" s="17"/>
      <c r="AI48" s="16"/>
      <c r="AJ48" s="17"/>
      <c r="AK48" s="16"/>
      <c r="AL48" s="17"/>
      <c r="AM48" s="17"/>
      <c r="AN48" s="17"/>
      <c r="AO48" s="18"/>
      <c r="AP48" s="19"/>
      <c r="AQ48" s="17"/>
      <c r="AR48" s="14"/>
    </row>
    <row r="49" spans="1:4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6"/>
      <c r="N49" s="17"/>
      <c r="O49" s="16"/>
      <c r="P49" s="17"/>
      <c r="Q49" s="16"/>
      <c r="R49" s="17"/>
      <c r="S49" s="16"/>
      <c r="T49" s="17"/>
      <c r="U49" s="16"/>
      <c r="V49" s="17"/>
      <c r="W49" s="16"/>
      <c r="X49" s="17"/>
      <c r="Y49" s="16"/>
      <c r="Z49" s="17"/>
      <c r="AA49" s="16"/>
      <c r="AB49" s="17"/>
      <c r="AC49" s="16"/>
      <c r="AD49" s="17"/>
      <c r="AE49" s="16"/>
      <c r="AF49" s="17"/>
      <c r="AG49" s="16"/>
      <c r="AH49" s="17"/>
      <c r="AI49" s="16"/>
      <c r="AJ49" s="17"/>
      <c r="AK49" s="16"/>
      <c r="AL49" s="17"/>
      <c r="AM49" s="17"/>
      <c r="AN49" s="17"/>
      <c r="AO49" s="18"/>
      <c r="AP49" s="19"/>
      <c r="AQ49" s="17"/>
      <c r="AR49" s="14"/>
    </row>
    <row r="50" spans="1:44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6"/>
      <c r="AH50" s="17"/>
      <c r="AI50" s="16"/>
      <c r="AJ50" s="17"/>
      <c r="AK50" s="16"/>
      <c r="AL50" s="17"/>
      <c r="AM50" s="17"/>
      <c r="AN50" s="17"/>
      <c r="AO50" s="18"/>
      <c r="AP50" s="19"/>
      <c r="AQ50" s="17"/>
      <c r="AR50" s="14"/>
    </row>
    <row r="51" spans="1:44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6"/>
      <c r="N51" s="17"/>
      <c r="O51" s="16"/>
      <c r="P51" s="17"/>
      <c r="Q51" s="16"/>
      <c r="R51" s="17"/>
      <c r="S51" s="16"/>
      <c r="T51" s="17"/>
      <c r="U51" s="16"/>
      <c r="V51" s="17"/>
      <c r="W51" s="16"/>
      <c r="X51" s="17"/>
      <c r="Y51" s="16"/>
      <c r="Z51" s="17"/>
      <c r="AA51" s="16"/>
      <c r="AB51" s="17"/>
      <c r="AC51" s="16"/>
      <c r="AD51" s="17"/>
      <c r="AE51" s="16"/>
      <c r="AF51" s="17"/>
      <c r="AG51" s="16"/>
      <c r="AH51" s="17"/>
      <c r="AI51" s="16"/>
      <c r="AJ51" s="17"/>
      <c r="AK51" s="16"/>
      <c r="AL51" s="17"/>
      <c r="AM51" s="17"/>
      <c r="AN51" s="17"/>
      <c r="AO51" s="18"/>
      <c r="AP51" s="19"/>
      <c r="AQ51" s="17"/>
      <c r="AR51" s="14"/>
    </row>
    <row r="52" spans="1:44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5"/>
      <c r="K52" s="15"/>
      <c r="L52" s="15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6"/>
      <c r="AH52" s="17"/>
      <c r="AI52" s="16"/>
      <c r="AJ52" s="17"/>
      <c r="AK52" s="16"/>
      <c r="AL52" s="17"/>
      <c r="AM52" s="17"/>
      <c r="AN52" s="17"/>
      <c r="AO52" s="18"/>
      <c r="AP52" s="19"/>
      <c r="AQ52" s="17"/>
      <c r="AR52" s="14"/>
    </row>
    <row r="53" spans="1:44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5"/>
      <c r="K53" s="15"/>
      <c r="L53" s="15"/>
      <c r="M53" s="16"/>
      <c r="N53" s="17"/>
      <c r="O53" s="16"/>
      <c r="P53" s="17"/>
      <c r="Q53" s="16"/>
      <c r="R53" s="17"/>
      <c r="S53" s="16"/>
      <c r="T53" s="17"/>
      <c r="U53" s="16"/>
      <c r="V53" s="17"/>
      <c r="W53" s="16"/>
      <c r="X53" s="17"/>
      <c r="Y53" s="16"/>
      <c r="Z53" s="17"/>
      <c r="AA53" s="16"/>
      <c r="AB53" s="17"/>
      <c r="AC53" s="16"/>
      <c r="AD53" s="17"/>
      <c r="AE53" s="16"/>
      <c r="AF53" s="17"/>
      <c r="AG53" s="16"/>
      <c r="AH53" s="17"/>
      <c r="AI53" s="16"/>
      <c r="AJ53" s="17"/>
      <c r="AK53" s="16"/>
      <c r="AL53" s="17"/>
      <c r="AM53" s="17"/>
      <c r="AN53" s="17"/>
      <c r="AO53" s="18"/>
      <c r="AP53" s="19"/>
      <c r="AQ53" s="17"/>
      <c r="AR53" s="14"/>
    </row>
    <row r="54" spans="1:44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5"/>
      <c r="K54" s="15"/>
      <c r="L54" s="15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6"/>
      <c r="AH54" s="17"/>
      <c r="AI54" s="16"/>
      <c r="AJ54" s="17"/>
      <c r="AK54" s="16"/>
      <c r="AL54" s="17"/>
      <c r="AM54" s="17"/>
      <c r="AN54" s="17"/>
      <c r="AO54" s="18"/>
      <c r="AP54" s="19"/>
      <c r="AQ54" s="17"/>
      <c r="AR54" s="14"/>
    </row>
    <row r="55" spans="1:44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5"/>
      <c r="M55" s="16"/>
      <c r="N55" s="17"/>
      <c r="O55" s="16"/>
      <c r="P55" s="17"/>
      <c r="Q55" s="16"/>
      <c r="R55" s="17"/>
      <c r="S55" s="16"/>
      <c r="T55" s="17"/>
      <c r="U55" s="16"/>
      <c r="V55" s="17"/>
      <c r="W55" s="16"/>
      <c r="X55" s="17"/>
      <c r="Y55" s="16"/>
      <c r="Z55" s="17"/>
      <c r="AA55" s="16"/>
      <c r="AB55" s="17"/>
      <c r="AC55" s="16"/>
      <c r="AD55" s="17"/>
      <c r="AE55" s="16"/>
      <c r="AF55" s="17"/>
      <c r="AG55" s="16"/>
      <c r="AH55" s="17"/>
      <c r="AI55" s="16"/>
      <c r="AJ55" s="17"/>
      <c r="AK55" s="16"/>
      <c r="AL55" s="17"/>
      <c r="AM55" s="17"/>
      <c r="AN55" s="17"/>
      <c r="AO55" s="18"/>
      <c r="AP55" s="19"/>
      <c r="AQ55" s="17"/>
      <c r="AR55" s="14"/>
    </row>
    <row r="56" spans="1:44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5"/>
      <c r="K56" s="15"/>
      <c r="L56" s="15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6"/>
      <c r="AH56" s="17"/>
      <c r="AI56" s="16"/>
      <c r="AJ56" s="17"/>
      <c r="AK56" s="16"/>
      <c r="AL56" s="17"/>
      <c r="AM56" s="17"/>
      <c r="AN56" s="17"/>
      <c r="AO56" s="18"/>
      <c r="AP56" s="19"/>
      <c r="AQ56" s="17"/>
      <c r="AR56" s="14"/>
    </row>
    <row r="57" spans="1:44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5"/>
      <c r="K57" s="15"/>
      <c r="L57" s="15"/>
      <c r="M57" s="16"/>
      <c r="N57" s="17"/>
      <c r="O57" s="16"/>
      <c r="P57" s="17"/>
      <c r="Q57" s="16"/>
      <c r="R57" s="17"/>
      <c r="S57" s="16"/>
      <c r="T57" s="17"/>
      <c r="U57" s="16"/>
      <c r="V57" s="17"/>
      <c r="W57" s="16"/>
      <c r="X57" s="17"/>
      <c r="Y57" s="16"/>
      <c r="Z57" s="17"/>
      <c r="AA57" s="16"/>
      <c r="AB57" s="17"/>
      <c r="AC57" s="16"/>
      <c r="AD57" s="17"/>
      <c r="AE57" s="16"/>
      <c r="AF57" s="17"/>
      <c r="AG57" s="16"/>
      <c r="AH57" s="17"/>
      <c r="AI57" s="16"/>
      <c r="AJ57" s="17"/>
      <c r="AK57" s="16"/>
      <c r="AL57" s="17"/>
      <c r="AM57" s="17"/>
      <c r="AN57" s="17"/>
      <c r="AO57" s="18"/>
      <c r="AP57" s="19"/>
      <c r="AQ57" s="17"/>
      <c r="AR57" s="14"/>
    </row>
    <row r="58" spans="1:44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5"/>
      <c r="K58" s="15"/>
      <c r="L58" s="15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6"/>
      <c r="AH58" s="17"/>
      <c r="AI58" s="16"/>
      <c r="AJ58" s="17"/>
      <c r="AK58" s="16"/>
      <c r="AL58" s="17"/>
      <c r="AM58" s="17"/>
      <c r="AN58" s="17"/>
      <c r="AO58" s="18"/>
      <c r="AP58" s="19"/>
      <c r="AQ58" s="17"/>
      <c r="AR58" s="14"/>
    </row>
    <row r="59" spans="1:44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6"/>
      <c r="N59" s="17"/>
      <c r="O59" s="16"/>
      <c r="P59" s="17"/>
      <c r="Q59" s="16"/>
      <c r="R59" s="17"/>
      <c r="S59" s="16"/>
      <c r="T59" s="17"/>
      <c r="U59" s="16"/>
      <c r="V59" s="17"/>
      <c r="W59" s="16"/>
      <c r="X59" s="17"/>
      <c r="Y59" s="16"/>
      <c r="Z59" s="17"/>
      <c r="AA59" s="16"/>
      <c r="AB59" s="17"/>
      <c r="AC59" s="16"/>
      <c r="AD59" s="17"/>
      <c r="AE59" s="16"/>
      <c r="AF59" s="17"/>
      <c r="AG59" s="16"/>
      <c r="AH59" s="17"/>
      <c r="AI59" s="16"/>
      <c r="AJ59" s="17"/>
      <c r="AK59" s="16"/>
      <c r="AL59" s="17"/>
      <c r="AM59" s="17"/>
      <c r="AN59" s="17"/>
      <c r="AO59" s="18"/>
      <c r="AP59" s="19"/>
      <c r="AQ59" s="17"/>
      <c r="AR59" s="14"/>
    </row>
    <row r="60" spans="1:44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5"/>
      <c r="K60" s="15"/>
      <c r="L60" s="15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6"/>
      <c r="AH60" s="17"/>
      <c r="AI60" s="16"/>
      <c r="AJ60" s="17"/>
      <c r="AK60" s="16"/>
      <c r="AL60" s="17"/>
      <c r="AM60" s="17"/>
      <c r="AN60" s="17"/>
      <c r="AO60" s="18"/>
      <c r="AP60" s="19"/>
      <c r="AQ60" s="17"/>
      <c r="AR60" s="14"/>
    </row>
  </sheetData>
  <mergeCells count="2">
    <mergeCell ref="A1:AR1"/>
    <mergeCell ref="A3:AR3"/>
  </mergeCells>
  <conditionalFormatting sqref="AO7:AO60">
    <cfRule type="colorScale" priority="1">
      <colorScale>
        <cfvo type="min"/>
        <cfvo type="percentile" val="50"/>
        <cfvo type="max"/>
        <color rgb="FFFCA5A5"/>
        <color rgb="FFFEF3C7"/>
        <color rgb="FFDCFCE7"/>
      </colorScale>
    </cfRule>
  </conditionalFormatting>
  <conditionalFormatting sqref="AP7:AP60">
    <cfRule type="expression" dxfId="2" priority="2">
      <formula>AP7="Kritisch"</formula>
    </cfRule>
    <cfRule type="expression" dxfId="1" priority="3">
      <formula>AP7="Prüfen"</formula>
    </cfRule>
    <cfRule type="expression" dxfId="0" priority="4">
      <formula>OR(AP7="Im Soll",AP7="Besser/Im Soll")</formula>
    </cfRule>
  </conditionalFormatting>
  <dataValidations count="2">
    <dataValidation type="list" sqref="B7:B60" xr:uid="{00000000-0002-0000-0200-000000000000}">
      <formula1>"Ja,Nein"</formula1>
    </dataValidation>
    <dataValidation type="whole" sqref="J7:K60" xr:uid="{00000000-0002-0000-0200-000006000000}">
      <formula1>1</formula1>
      <formula2>12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200-000001000000}">
          <x14:formula1>
            <xm:f>Stammdaten!$E$13:$E$14</xm:f>
          </x14:formula1>
          <xm:sqref>C7:C60</xm:sqref>
        </x14:dataValidation>
        <x14:dataValidation type="list" xr:uid="{00000000-0002-0000-0200-000002000000}">
          <x14:formula1>
            <xm:f>Stammdaten!$G$13:$G$21</xm:f>
          </x14:formula1>
          <xm:sqref>D7:D60</xm:sqref>
        </x14:dataValidation>
        <x14:dataValidation type="list" xr:uid="{00000000-0002-0000-0200-000003000000}">
          <x14:formula1>
            <xm:f>Stammdaten!$M$13:$M$28</xm:f>
          </x14:formula1>
          <xm:sqref>F7:F60</xm:sqref>
        </x14:dataValidation>
        <x14:dataValidation type="list" xr:uid="{00000000-0002-0000-0200-000004000000}">
          <x14:formula1>
            <xm:f>Stammdaten!$K$13:$K$18</xm:f>
          </x14:formula1>
          <xm:sqref>H7:H60</xm:sqref>
        </x14:dataValidation>
        <x14:dataValidation type="list" xr:uid="{00000000-0002-0000-0200-000005000000}">
          <x14:formula1>
            <xm:f>Stammdaten!$I$13:$I$16</xm:f>
          </x14:formula1>
          <xm:sqref>I7:I60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workbookViewId="0"/>
  </sheetViews>
  <sheetFormatPr baseColWidth="10" defaultColWidth="9" defaultRowHeight="15" x14ac:dyDescent="0.25"/>
  <cols>
    <col min="1" max="1" width="23" customWidth="1"/>
    <col min="2" max="2" width="20" customWidth="1"/>
    <col min="3" max="3" width="42" customWidth="1"/>
    <col min="5" max="5" width="8" customWidth="1"/>
    <col min="13" max="13" width="20" customWidth="1"/>
  </cols>
  <sheetData>
    <row r="1" spans="1:13" ht="27.95" customHeight="1" x14ac:dyDescent="0.25">
      <c r="A1" s="35" t="s">
        <v>193</v>
      </c>
      <c r="B1" s="26"/>
      <c r="C1" s="26"/>
      <c r="D1" s="26"/>
      <c r="E1" s="26"/>
      <c r="F1" s="26"/>
    </row>
    <row r="3" spans="1:13" x14ac:dyDescent="0.25">
      <c r="A3" s="1" t="s">
        <v>1</v>
      </c>
      <c r="B3" s="2" t="s">
        <v>194</v>
      </c>
      <c r="C3" s="5" t="s">
        <v>195</v>
      </c>
    </row>
    <row r="4" spans="1:13" x14ac:dyDescent="0.25">
      <c r="A4" s="1" t="s">
        <v>3</v>
      </c>
      <c r="B4" s="2">
        <v>2026</v>
      </c>
      <c r="C4" s="5" t="s">
        <v>196</v>
      </c>
    </row>
    <row r="5" spans="1:13" x14ac:dyDescent="0.25">
      <c r="A5" s="1" t="s">
        <v>197</v>
      </c>
      <c r="B5" s="3">
        <v>85000</v>
      </c>
      <c r="C5" s="5" t="s">
        <v>198</v>
      </c>
    </row>
    <row r="6" spans="1:13" x14ac:dyDescent="0.25">
      <c r="A6" s="1" t="s">
        <v>4</v>
      </c>
      <c r="B6" s="3">
        <v>25000</v>
      </c>
      <c r="C6" s="5" t="s">
        <v>199</v>
      </c>
    </row>
    <row r="7" spans="1:13" x14ac:dyDescent="0.25">
      <c r="A7" s="1" t="s">
        <v>200</v>
      </c>
      <c r="B7" s="4">
        <v>7.0000000000000007E-2</v>
      </c>
      <c r="C7" s="5" t="s">
        <v>201</v>
      </c>
    </row>
    <row r="8" spans="1:13" x14ac:dyDescent="0.25">
      <c r="A8" s="1" t="s">
        <v>202</v>
      </c>
      <c r="B8" s="4">
        <v>0.15</v>
      </c>
      <c r="C8" s="5" t="s">
        <v>203</v>
      </c>
    </row>
    <row r="9" spans="1:13" x14ac:dyDescent="0.25">
      <c r="A9" s="1" t="s">
        <v>204</v>
      </c>
      <c r="B9" s="2" t="s">
        <v>205</v>
      </c>
      <c r="C9" s="5" t="s">
        <v>206</v>
      </c>
    </row>
    <row r="12" spans="1:13" x14ac:dyDescent="0.25">
      <c r="A12" s="6" t="s">
        <v>2</v>
      </c>
      <c r="B12" s="6" t="s">
        <v>207</v>
      </c>
      <c r="C12" s="6" t="s">
        <v>208</v>
      </c>
      <c r="E12" s="6" t="s">
        <v>63</v>
      </c>
      <c r="G12" s="6" t="s">
        <v>19</v>
      </c>
      <c r="I12" s="6" t="s">
        <v>67</v>
      </c>
      <c r="K12" s="6" t="s">
        <v>66</v>
      </c>
      <c r="M12" s="6" t="s">
        <v>65</v>
      </c>
    </row>
    <row r="13" spans="1:13" x14ac:dyDescent="0.25">
      <c r="A13" t="s">
        <v>209</v>
      </c>
      <c r="B13" s="7">
        <v>0.92</v>
      </c>
      <c r="C13" s="7">
        <v>1.08</v>
      </c>
      <c r="E13" s="8" t="s">
        <v>101</v>
      </c>
      <c r="G13" s="8" t="s">
        <v>113</v>
      </c>
      <c r="I13" s="8" t="s">
        <v>107</v>
      </c>
      <c r="K13" s="8" t="s">
        <v>106</v>
      </c>
      <c r="M13" s="8" t="s">
        <v>104</v>
      </c>
    </row>
    <row r="14" spans="1:13" x14ac:dyDescent="0.25">
      <c r="A14" t="s">
        <v>205</v>
      </c>
      <c r="B14" s="7">
        <v>1</v>
      </c>
      <c r="C14" s="7">
        <v>1</v>
      </c>
      <c r="E14" s="8" t="s">
        <v>126</v>
      </c>
      <c r="G14" s="8" t="s">
        <v>102</v>
      </c>
      <c r="I14" s="8" t="s">
        <v>124</v>
      </c>
      <c r="K14" s="8" t="s">
        <v>117</v>
      </c>
      <c r="M14" s="8" t="s">
        <v>110</v>
      </c>
    </row>
    <row r="15" spans="1:13" x14ac:dyDescent="0.25">
      <c r="A15" t="s">
        <v>210</v>
      </c>
      <c r="B15" s="7">
        <v>1.1200000000000001</v>
      </c>
      <c r="C15" s="7">
        <v>1.05</v>
      </c>
      <c r="E15" s="8"/>
      <c r="G15" s="8" t="s">
        <v>136</v>
      </c>
      <c r="I15" s="8" t="s">
        <v>211</v>
      </c>
      <c r="K15" s="8" t="s">
        <v>139</v>
      </c>
      <c r="M15" s="8" t="s">
        <v>115</v>
      </c>
    </row>
    <row r="16" spans="1:13" x14ac:dyDescent="0.25">
      <c r="E16" s="8"/>
      <c r="G16" s="8" t="s">
        <v>155</v>
      </c>
      <c r="I16" s="8" t="s">
        <v>179</v>
      </c>
      <c r="K16" s="8" t="s">
        <v>131</v>
      </c>
      <c r="M16" s="8" t="s">
        <v>121</v>
      </c>
    </row>
    <row r="17" spans="1:13" x14ac:dyDescent="0.25">
      <c r="E17" s="8"/>
      <c r="G17" s="8" t="s">
        <v>119</v>
      </c>
      <c r="I17" s="8"/>
      <c r="K17" s="8" t="s">
        <v>123</v>
      </c>
      <c r="M17" s="8" t="s">
        <v>129</v>
      </c>
    </row>
    <row r="18" spans="1:13" x14ac:dyDescent="0.25">
      <c r="A18" s="32" t="s">
        <v>212</v>
      </c>
      <c r="B18" s="26"/>
      <c r="C18" s="26"/>
      <c r="D18" s="26"/>
      <c r="E18" s="37"/>
      <c r="F18" s="26"/>
      <c r="G18" s="8" t="s">
        <v>144</v>
      </c>
      <c r="I18" s="8"/>
      <c r="K18" s="8" t="s">
        <v>148</v>
      </c>
      <c r="M18" s="8" t="s">
        <v>136</v>
      </c>
    </row>
    <row r="19" spans="1:13" ht="75" x14ac:dyDescent="0.25">
      <c r="A19" s="9" t="s">
        <v>213</v>
      </c>
      <c r="B19" s="9" t="s">
        <v>214</v>
      </c>
      <c r="C19" s="9"/>
      <c r="D19" s="9"/>
      <c r="E19" s="10"/>
      <c r="F19" s="9"/>
      <c r="G19" s="8" t="s">
        <v>150</v>
      </c>
      <c r="I19" s="8"/>
      <c r="K19" s="8"/>
      <c r="M19" s="8" t="s">
        <v>146</v>
      </c>
    </row>
    <row r="20" spans="1:13" ht="90" x14ac:dyDescent="0.25">
      <c r="A20" s="9" t="s">
        <v>215</v>
      </c>
      <c r="B20" s="9" t="s">
        <v>216</v>
      </c>
      <c r="C20" s="9"/>
      <c r="D20" s="9"/>
      <c r="E20" s="10"/>
      <c r="F20" s="9"/>
      <c r="G20" s="8" t="s">
        <v>127</v>
      </c>
      <c r="I20" s="8"/>
      <c r="K20" s="8"/>
      <c r="M20" s="8" t="s">
        <v>152</v>
      </c>
    </row>
    <row r="21" spans="1:13" ht="90" x14ac:dyDescent="0.25">
      <c r="A21" s="9" t="s">
        <v>217</v>
      </c>
      <c r="B21" s="9" t="s">
        <v>218</v>
      </c>
      <c r="C21" s="9"/>
      <c r="D21" s="9"/>
      <c r="E21" s="10"/>
      <c r="F21" s="9"/>
      <c r="G21" s="8" t="s">
        <v>163</v>
      </c>
      <c r="I21" s="8"/>
      <c r="K21" s="8"/>
      <c r="M21" s="8" t="s">
        <v>173</v>
      </c>
    </row>
    <row r="22" spans="1:13" ht="60" x14ac:dyDescent="0.25">
      <c r="A22" s="9" t="s">
        <v>219</v>
      </c>
      <c r="B22" s="9" t="s">
        <v>220</v>
      </c>
      <c r="C22" s="9"/>
      <c r="D22" s="9"/>
      <c r="E22" s="10"/>
      <c r="F22" s="9"/>
      <c r="G22" s="8"/>
      <c r="I22" s="8"/>
      <c r="K22" s="8"/>
      <c r="M22" s="8" t="s">
        <v>165</v>
      </c>
    </row>
    <row r="23" spans="1:13" ht="90" x14ac:dyDescent="0.25">
      <c r="A23" s="9" t="s">
        <v>221</v>
      </c>
      <c r="B23" s="9" t="s">
        <v>222</v>
      </c>
      <c r="C23" s="9"/>
      <c r="D23" s="9"/>
      <c r="E23" s="10"/>
      <c r="F23" s="9"/>
      <c r="G23" s="8"/>
      <c r="I23" s="8"/>
      <c r="K23" s="8"/>
      <c r="M23" s="8" t="s">
        <v>169</v>
      </c>
    </row>
    <row r="24" spans="1:13" x14ac:dyDescent="0.25">
      <c r="E24" s="8"/>
      <c r="G24" s="8"/>
      <c r="I24" s="8"/>
      <c r="K24" s="8"/>
      <c r="M24" s="8" t="s">
        <v>157</v>
      </c>
    </row>
    <row r="25" spans="1:13" x14ac:dyDescent="0.25">
      <c r="E25" s="8"/>
      <c r="G25" s="8"/>
      <c r="I25" s="8"/>
      <c r="K25" s="8"/>
      <c r="M25" s="8" t="s">
        <v>177</v>
      </c>
    </row>
    <row r="26" spans="1:13" x14ac:dyDescent="0.25">
      <c r="E26" s="8"/>
      <c r="G26" s="8"/>
      <c r="I26" s="8"/>
      <c r="K26" s="8"/>
      <c r="M26" s="8" t="s">
        <v>182</v>
      </c>
    </row>
    <row r="27" spans="1:13" x14ac:dyDescent="0.25">
      <c r="E27" s="8"/>
      <c r="G27" s="8"/>
      <c r="I27" s="8"/>
      <c r="K27" s="8"/>
      <c r="M27" s="8" t="s">
        <v>186</v>
      </c>
    </row>
    <row r="28" spans="1:13" x14ac:dyDescent="0.25">
      <c r="E28" s="8"/>
      <c r="G28" s="8"/>
      <c r="I28" s="8"/>
      <c r="K28" s="8"/>
      <c r="M28" s="8" t="s">
        <v>190</v>
      </c>
    </row>
  </sheetData>
  <mergeCells count="2">
    <mergeCell ref="A1:F1"/>
    <mergeCell ref="A18:F18"/>
  </mergeCells>
  <dataValidations count="1">
    <dataValidation type="list" sqref="B9" xr:uid="{00000000-0002-0000-0300-000000000000}">
      <formula1>$A$13:$A$15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Monatsübersicht</vt:lpstr>
      <vt:lpstr>Budgetplanung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2026-05-10T17:45:22Z</dcterms:modified>
</cp:coreProperties>
</file>