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BE9CD208-E13C-4071-8B3D-AFDAF1CC2C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Übersicht" sheetId="1" r:id="rId1"/>
    <sheet name="Buchungen" sheetId="2" r:id="rId2"/>
    <sheet name="USt-Auswertung" sheetId="3" r:id="rId3"/>
    <sheet name="Kategorien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3" l="1"/>
  <c r="C16" i="3"/>
  <c r="C15" i="3"/>
  <c r="C14" i="3"/>
  <c r="C13" i="3"/>
  <c r="B3" i="3"/>
  <c r="V151" i="2"/>
  <c r="U151" i="2"/>
  <c r="R151" i="2"/>
  <c r="Q151" i="2"/>
  <c r="P151" i="2"/>
  <c r="O151" i="2"/>
  <c r="M151" i="2"/>
  <c r="K151" i="2"/>
  <c r="J151" i="2"/>
  <c r="C151" i="2"/>
  <c r="V150" i="2"/>
  <c r="U150" i="2"/>
  <c r="R150" i="2"/>
  <c r="Q150" i="2"/>
  <c r="P150" i="2"/>
  <c r="O150" i="2"/>
  <c r="M150" i="2"/>
  <c r="K150" i="2"/>
  <c r="J150" i="2"/>
  <c r="C150" i="2"/>
  <c r="V149" i="2"/>
  <c r="U149" i="2"/>
  <c r="R149" i="2"/>
  <c r="Q149" i="2"/>
  <c r="P149" i="2"/>
  <c r="O149" i="2"/>
  <c r="M149" i="2"/>
  <c r="K149" i="2"/>
  <c r="J149" i="2"/>
  <c r="C149" i="2"/>
  <c r="V148" i="2"/>
  <c r="U148" i="2"/>
  <c r="R148" i="2"/>
  <c r="Q148" i="2"/>
  <c r="P148" i="2"/>
  <c r="O148" i="2"/>
  <c r="M148" i="2"/>
  <c r="K148" i="2"/>
  <c r="J148" i="2"/>
  <c r="C148" i="2"/>
  <c r="V147" i="2"/>
  <c r="U147" i="2"/>
  <c r="R147" i="2"/>
  <c r="Q147" i="2"/>
  <c r="P147" i="2"/>
  <c r="O147" i="2"/>
  <c r="M147" i="2"/>
  <c r="K147" i="2"/>
  <c r="J147" i="2"/>
  <c r="C147" i="2"/>
  <c r="V146" i="2"/>
  <c r="U146" i="2"/>
  <c r="R146" i="2"/>
  <c r="Q146" i="2"/>
  <c r="P146" i="2"/>
  <c r="O146" i="2"/>
  <c r="M146" i="2"/>
  <c r="K146" i="2"/>
  <c r="J146" i="2"/>
  <c r="C146" i="2"/>
  <c r="V145" i="2"/>
  <c r="U145" i="2"/>
  <c r="R145" i="2"/>
  <c r="Q145" i="2"/>
  <c r="P145" i="2"/>
  <c r="O145" i="2"/>
  <c r="M145" i="2"/>
  <c r="K145" i="2"/>
  <c r="J145" i="2"/>
  <c r="C145" i="2"/>
  <c r="V144" i="2"/>
  <c r="U144" i="2"/>
  <c r="R144" i="2"/>
  <c r="Q144" i="2"/>
  <c r="P144" i="2"/>
  <c r="O144" i="2"/>
  <c r="M144" i="2"/>
  <c r="K144" i="2"/>
  <c r="J144" i="2"/>
  <c r="C144" i="2"/>
  <c r="V143" i="2"/>
  <c r="U143" i="2"/>
  <c r="R143" i="2"/>
  <c r="Q143" i="2"/>
  <c r="P143" i="2"/>
  <c r="O143" i="2"/>
  <c r="M143" i="2"/>
  <c r="K143" i="2"/>
  <c r="J143" i="2"/>
  <c r="C143" i="2"/>
  <c r="V142" i="2"/>
  <c r="U142" i="2"/>
  <c r="R142" i="2"/>
  <c r="Q142" i="2"/>
  <c r="P142" i="2"/>
  <c r="O142" i="2"/>
  <c r="M142" i="2"/>
  <c r="K142" i="2"/>
  <c r="J142" i="2"/>
  <c r="C142" i="2"/>
  <c r="V141" i="2"/>
  <c r="U141" i="2"/>
  <c r="R141" i="2"/>
  <c r="Q141" i="2"/>
  <c r="P141" i="2"/>
  <c r="O141" i="2"/>
  <c r="M141" i="2"/>
  <c r="K141" i="2"/>
  <c r="J141" i="2"/>
  <c r="C141" i="2"/>
  <c r="V140" i="2"/>
  <c r="U140" i="2"/>
  <c r="R140" i="2"/>
  <c r="Q140" i="2"/>
  <c r="P140" i="2"/>
  <c r="O140" i="2"/>
  <c r="M140" i="2"/>
  <c r="K140" i="2"/>
  <c r="J140" i="2"/>
  <c r="C140" i="2"/>
  <c r="V139" i="2"/>
  <c r="U139" i="2"/>
  <c r="R139" i="2"/>
  <c r="Q139" i="2"/>
  <c r="P139" i="2"/>
  <c r="O139" i="2"/>
  <c r="M139" i="2"/>
  <c r="K139" i="2"/>
  <c r="J139" i="2"/>
  <c r="C139" i="2"/>
  <c r="V138" i="2"/>
  <c r="U138" i="2"/>
  <c r="R138" i="2"/>
  <c r="Q138" i="2"/>
  <c r="P138" i="2"/>
  <c r="O138" i="2"/>
  <c r="M138" i="2"/>
  <c r="K138" i="2"/>
  <c r="J138" i="2"/>
  <c r="C138" i="2"/>
  <c r="V137" i="2"/>
  <c r="U137" i="2"/>
  <c r="R137" i="2"/>
  <c r="Q137" i="2"/>
  <c r="P137" i="2"/>
  <c r="O137" i="2"/>
  <c r="M137" i="2"/>
  <c r="K137" i="2"/>
  <c r="J137" i="2"/>
  <c r="C137" i="2"/>
  <c r="V136" i="2"/>
  <c r="U136" i="2"/>
  <c r="R136" i="2"/>
  <c r="Q136" i="2"/>
  <c r="P136" i="2"/>
  <c r="O136" i="2"/>
  <c r="M136" i="2"/>
  <c r="K136" i="2"/>
  <c r="J136" i="2"/>
  <c r="C136" i="2"/>
  <c r="V135" i="2"/>
  <c r="U135" i="2"/>
  <c r="R135" i="2"/>
  <c r="Q135" i="2"/>
  <c r="P135" i="2"/>
  <c r="O135" i="2"/>
  <c r="M135" i="2"/>
  <c r="K135" i="2"/>
  <c r="J135" i="2"/>
  <c r="C135" i="2"/>
  <c r="V134" i="2"/>
  <c r="U134" i="2"/>
  <c r="R134" i="2"/>
  <c r="Q134" i="2"/>
  <c r="P134" i="2"/>
  <c r="O134" i="2"/>
  <c r="M134" i="2"/>
  <c r="K134" i="2"/>
  <c r="J134" i="2"/>
  <c r="C134" i="2"/>
  <c r="V133" i="2"/>
  <c r="U133" i="2"/>
  <c r="R133" i="2"/>
  <c r="Q133" i="2"/>
  <c r="P133" i="2"/>
  <c r="O133" i="2"/>
  <c r="M133" i="2"/>
  <c r="K133" i="2"/>
  <c r="J133" i="2"/>
  <c r="C133" i="2"/>
  <c r="V132" i="2"/>
  <c r="U132" i="2"/>
  <c r="R132" i="2"/>
  <c r="Q132" i="2"/>
  <c r="P132" i="2"/>
  <c r="O132" i="2"/>
  <c r="M132" i="2"/>
  <c r="K132" i="2"/>
  <c r="J132" i="2"/>
  <c r="C132" i="2"/>
  <c r="V131" i="2"/>
  <c r="U131" i="2"/>
  <c r="T131" i="2"/>
  <c r="S131" i="2"/>
  <c r="R131" i="2"/>
  <c r="Q131" i="2"/>
  <c r="P131" i="2"/>
  <c r="O131" i="2"/>
  <c r="M131" i="2"/>
  <c r="K131" i="2"/>
  <c r="J131" i="2"/>
  <c r="C131" i="2"/>
  <c r="V130" i="2"/>
  <c r="U130" i="2"/>
  <c r="R130" i="2"/>
  <c r="Q130" i="2"/>
  <c r="P130" i="2"/>
  <c r="O130" i="2"/>
  <c r="M130" i="2"/>
  <c r="K130" i="2"/>
  <c r="J130" i="2"/>
  <c r="C130" i="2"/>
  <c r="V129" i="2"/>
  <c r="U129" i="2"/>
  <c r="R129" i="2"/>
  <c r="Q129" i="2"/>
  <c r="P129" i="2"/>
  <c r="O129" i="2"/>
  <c r="M129" i="2"/>
  <c r="K129" i="2"/>
  <c r="J129" i="2"/>
  <c r="C129" i="2"/>
  <c r="V128" i="2"/>
  <c r="U128" i="2"/>
  <c r="R128" i="2"/>
  <c r="Q128" i="2"/>
  <c r="P128" i="2"/>
  <c r="O128" i="2"/>
  <c r="M128" i="2"/>
  <c r="K128" i="2"/>
  <c r="J128" i="2"/>
  <c r="C128" i="2"/>
  <c r="V127" i="2"/>
  <c r="U127" i="2"/>
  <c r="R127" i="2"/>
  <c r="Q127" i="2"/>
  <c r="P127" i="2"/>
  <c r="O127" i="2"/>
  <c r="M127" i="2"/>
  <c r="K127" i="2"/>
  <c r="J127" i="2"/>
  <c r="C127" i="2"/>
  <c r="V126" i="2"/>
  <c r="U126" i="2"/>
  <c r="R126" i="2"/>
  <c r="Q126" i="2"/>
  <c r="P126" i="2"/>
  <c r="O126" i="2"/>
  <c r="M126" i="2"/>
  <c r="K126" i="2"/>
  <c r="J126" i="2"/>
  <c r="C126" i="2"/>
  <c r="V125" i="2"/>
  <c r="U125" i="2"/>
  <c r="R125" i="2"/>
  <c r="Q125" i="2"/>
  <c r="P125" i="2"/>
  <c r="O125" i="2"/>
  <c r="M125" i="2"/>
  <c r="K125" i="2"/>
  <c r="J125" i="2"/>
  <c r="C125" i="2"/>
  <c r="V124" i="2"/>
  <c r="U124" i="2"/>
  <c r="R124" i="2"/>
  <c r="Q124" i="2"/>
  <c r="P124" i="2"/>
  <c r="O124" i="2"/>
  <c r="M124" i="2"/>
  <c r="K124" i="2"/>
  <c r="J124" i="2"/>
  <c r="C124" i="2"/>
  <c r="V123" i="2"/>
  <c r="U123" i="2"/>
  <c r="T123" i="2"/>
  <c r="S123" i="2"/>
  <c r="R123" i="2"/>
  <c r="Q123" i="2"/>
  <c r="P123" i="2"/>
  <c r="O123" i="2"/>
  <c r="M123" i="2"/>
  <c r="K123" i="2"/>
  <c r="J123" i="2"/>
  <c r="C123" i="2"/>
  <c r="V122" i="2"/>
  <c r="U122" i="2"/>
  <c r="R122" i="2"/>
  <c r="Q122" i="2"/>
  <c r="P122" i="2"/>
  <c r="O122" i="2"/>
  <c r="M122" i="2"/>
  <c r="K122" i="2"/>
  <c r="J122" i="2"/>
  <c r="C122" i="2"/>
  <c r="V121" i="2"/>
  <c r="U121" i="2"/>
  <c r="R121" i="2"/>
  <c r="Q121" i="2"/>
  <c r="P121" i="2"/>
  <c r="O121" i="2"/>
  <c r="M121" i="2"/>
  <c r="K121" i="2"/>
  <c r="J121" i="2"/>
  <c r="C121" i="2"/>
  <c r="V120" i="2"/>
  <c r="U120" i="2"/>
  <c r="R120" i="2"/>
  <c r="Q120" i="2"/>
  <c r="P120" i="2"/>
  <c r="O120" i="2"/>
  <c r="M120" i="2"/>
  <c r="K120" i="2"/>
  <c r="J120" i="2"/>
  <c r="C120" i="2"/>
  <c r="V119" i="2"/>
  <c r="U119" i="2"/>
  <c r="R119" i="2"/>
  <c r="Q119" i="2"/>
  <c r="P119" i="2"/>
  <c r="O119" i="2"/>
  <c r="M119" i="2"/>
  <c r="K119" i="2"/>
  <c r="J119" i="2"/>
  <c r="C119" i="2"/>
  <c r="V118" i="2"/>
  <c r="U118" i="2"/>
  <c r="R118" i="2"/>
  <c r="Q118" i="2"/>
  <c r="P118" i="2"/>
  <c r="O118" i="2"/>
  <c r="M118" i="2"/>
  <c r="K118" i="2"/>
  <c r="J118" i="2"/>
  <c r="C118" i="2"/>
  <c r="V117" i="2"/>
  <c r="U117" i="2"/>
  <c r="R117" i="2"/>
  <c r="Q117" i="2"/>
  <c r="P117" i="2"/>
  <c r="O117" i="2"/>
  <c r="M117" i="2"/>
  <c r="K117" i="2"/>
  <c r="J117" i="2"/>
  <c r="C117" i="2"/>
  <c r="V116" i="2"/>
  <c r="U116" i="2"/>
  <c r="R116" i="2"/>
  <c r="Q116" i="2"/>
  <c r="P116" i="2"/>
  <c r="O116" i="2"/>
  <c r="M116" i="2"/>
  <c r="K116" i="2"/>
  <c r="J116" i="2"/>
  <c r="C116" i="2"/>
  <c r="V115" i="2"/>
  <c r="U115" i="2"/>
  <c r="R115" i="2"/>
  <c r="Q115" i="2"/>
  <c r="P115" i="2"/>
  <c r="O115" i="2"/>
  <c r="M115" i="2"/>
  <c r="K115" i="2"/>
  <c r="J115" i="2"/>
  <c r="C115" i="2"/>
  <c r="V114" i="2"/>
  <c r="U114" i="2"/>
  <c r="R114" i="2"/>
  <c r="Q114" i="2"/>
  <c r="P114" i="2"/>
  <c r="O114" i="2"/>
  <c r="M114" i="2"/>
  <c r="K114" i="2"/>
  <c r="J114" i="2"/>
  <c r="C114" i="2"/>
  <c r="V113" i="2"/>
  <c r="U113" i="2"/>
  <c r="R113" i="2"/>
  <c r="Q113" i="2"/>
  <c r="P113" i="2"/>
  <c r="O113" i="2"/>
  <c r="M113" i="2"/>
  <c r="K113" i="2"/>
  <c r="J113" i="2"/>
  <c r="C113" i="2"/>
  <c r="V112" i="2"/>
  <c r="U112" i="2"/>
  <c r="R112" i="2"/>
  <c r="Q112" i="2"/>
  <c r="P112" i="2"/>
  <c r="O112" i="2"/>
  <c r="M112" i="2"/>
  <c r="K112" i="2"/>
  <c r="J112" i="2"/>
  <c r="C112" i="2"/>
  <c r="V111" i="2"/>
  <c r="U111" i="2"/>
  <c r="R111" i="2"/>
  <c r="Q111" i="2"/>
  <c r="P111" i="2"/>
  <c r="O111" i="2"/>
  <c r="M111" i="2"/>
  <c r="K111" i="2"/>
  <c r="J111" i="2"/>
  <c r="C111" i="2"/>
  <c r="V110" i="2"/>
  <c r="U110" i="2"/>
  <c r="R110" i="2"/>
  <c r="Q110" i="2"/>
  <c r="P110" i="2"/>
  <c r="O110" i="2"/>
  <c r="M110" i="2"/>
  <c r="K110" i="2"/>
  <c r="J110" i="2"/>
  <c r="C110" i="2"/>
  <c r="V109" i="2"/>
  <c r="U109" i="2"/>
  <c r="R109" i="2"/>
  <c r="Q109" i="2"/>
  <c r="P109" i="2"/>
  <c r="O109" i="2"/>
  <c r="M109" i="2"/>
  <c r="K109" i="2"/>
  <c r="J109" i="2"/>
  <c r="C109" i="2"/>
  <c r="V108" i="2"/>
  <c r="U108" i="2"/>
  <c r="R108" i="2"/>
  <c r="Q108" i="2"/>
  <c r="P108" i="2"/>
  <c r="O108" i="2"/>
  <c r="M108" i="2"/>
  <c r="K108" i="2"/>
  <c r="J108" i="2"/>
  <c r="C108" i="2"/>
  <c r="V107" i="2"/>
  <c r="U107" i="2"/>
  <c r="R107" i="2"/>
  <c r="Q107" i="2"/>
  <c r="P107" i="2"/>
  <c r="O107" i="2"/>
  <c r="M107" i="2"/>
  <c r="K107" i="2"/>
  <c r="J107" i="2"/>
  <c r="C107" i="2"/>
  <c r="V106" i="2"/>
  <c r="U106" i="2"/>
  <c r="T106" i="2"/>
  <c r="S106" i="2"/>
  <c r="R106" i="2"/>
  <c r="Q106" i="2"/>
  <c r="P106" i="2"/>
  <c r="O106" i="2"/>
  <c r="N106" i="2"/>
  <c r="M106" i="2"/>
  <c r="K106" i="2"/>
  <c r="L106" i="2" s="1"/>
  <c r="J106" i="2"/>
  <c r="C106" i="2"/>
  <c r="V105" i="2"/>
  <c r="U105" i="2"/>
  <c r="R105" i="2"/>
  <c r="Q105" i="2"/>
  <c r="P105" i="2"/>
  <c r="O105" i="2"/>
  <c r="M105" i="2"/>
  <c r="K105" i="2"/>
  <c r="J105" i="2"/>
  <c r="C105" i="2"/>
  <c r="V104" i="2"/>
  <c r="U104" i="2"/>
  <c r="R104" i="2"/>
  <c r="Q104" i="2"/>
  <c r="P104" i="2"/>
  <c r="O104" i="2"/>
  <c r="M104" i="2"/>
  <c r="K104" i="2"/>
  <c r="J104" i="2"/>
  <c r="C104" i="2"/>
  <c r="V103" i="2"/>
  <c r="U103" i="2"/>
  <c r="R103" i="2"/>
  <c r="Q103" i="2"/>
  <c r="P103" i="2"/>
  <c r="O103" i="2"/>
  <c r="M103" i="2"/>
  <c r="K103" i="2"/>
  <c r="J103" i="2"/>
  <c r="C103" i="2"/>
  <c r="V102" i="2"/>
  <c r="U102" i="2"/>
  <c r="R102" i="2"/>
  <c r="Q102" i="2"/>
  <c r="P102" i="2"/>
  <c r="O102" i="2"/>
  <c r="M102" i="2"/>
  <c r="K102" i="2"/>
  <c r="J102" i="2"/>
  <c r="C102" i="2"/>
  <c r="V101" i="2"/>
  <c r="U101" i="2"/>
  <c r="R101" i="2"/>
  <c r="Q101" i="2"/>
  <c r="P101" i="2"/>
  <c r="O101" i="2"/>
  <c r="M101" i="2"/>
  <c r="K101" i="2"/>
  <c r="J101" i="2"/>
  <c r="C101" i="2"/>
  <c r="V100" i="2"/>
  <c r="U100" i="2"/>
  <c r="R100" i="2"/>
  <c r="Q100" i="2"/>
  <c r="P100" i="2"/>
  <c r="O100" i="2"/>
  <c r="M100" i="2"/>
  <c r="K100" i="2"/>
  <c r="J100" i="2"/>
  <c r="C100" i="2"/>
  <c r="V99" i="2"/>
  <c r="U99" i="2"/>
  <c r="R99" i="2"/>
  <c r="Q99" i="2"/>
  <c r="P99" i="2"/>
  <c r="O99" i="2"/>
  <c r="M99" i="2"/>
  <c r="K99" i="2"/>
  <c r="J99" i="2"/>
  <c r="C99" i="2"/>
  <c r="V98" i="2"/>
  <c r="U98" i="2"/>
  <c r="R98" i="2"/>
  <c r="Q98" i="2"/>
  <c r="P98" i="2"/>
  <c r="O98" i="2"/>
  <c r="M98" i="2"/>
  <c r="K98" i="2"/>
  <c r="J98" i="2"/>
  <c r="C98" i="2"/>
  <c r="V97" i="2"/>
  <c r="U97" i="2"/>
  <c r="R97" i="2"/>
  <c r="Q97" i="2"/>
  <c r="P97" i="2"/>
  <c r="O97" i="2"/>
  <c r="M97" i="2"/>
  <c r="K97" i="2"/>
  <c r="J97" i="2"/>
  <c r="C97" i="2"/>
  <c r="V96" i="2"/>
  <c r="U96" i="2"/>
  <c r="R96" i="2"/>
  <c r="Q96" i="2"/>
  <c r="P96" i="2"/>
  <c r="O96" i="2"/>
  <c r="M96" i="2"/>
  <c r="K96" i="2"/>
  <c r="J96" i="2"/>
  <c r="C96" i="2"/>
  <c r="V95" i="2"/>
  <c r="U95" i="2"/>
  <c r="R95" i="2"/>
  <c r="Q95" i="2"/>
  <c r="P95" i="2"/>
  <c r="O95" i="2"/>
  <c r="M95" i="2"/>
  <c r="K95" i="2"/>
  <c r="J95" i="2"/>
  <c r="C95" i="2"/>
  <c r="V94" i="2"/>
  <c r="U94" i="2"/>
  <c r="R94" i="2"/>
  <c r="Q94" i="2"/>
  <c r="P94" i="2"/>
  <c r="O94" i="2"/>
  <c r="M94" i="2"/>
  <c r="K94" i="2"/>
  <c r="J94" i="2"/>
  <c r="C94" i="2"/>
  <c r="V93" i="2"/>
  <c r="U93" i="2"/>
  <c r="R93" i="2"/>
  <c r="Q93" i="2"/>
  <c r="P93" i="2"/>
  <c r="O93" i="2"/>
  <c r="M93" i="2"/>
  <c r="K93" i="2"/>
  <c r="J93" i="2"/>
  <c r="C93" i="2"/>
  <c r="V92" i="2"/>
  <c r="U92" i="2"/>
  <c r="R92" i="2"/>
  <c r="Q92" i="2"/>
  <c r="P92" i="2"/>
  <c r="O92" i="2"/>
  <c r="M92" i="2"/>
  <c r="K92" i="2"/>
  <c r="J92" i="2"/>
  <c r="C92" i="2"/>
  <c r="V91" i="2"/>
  <c r="U91" i="2"/>
  <c r="R91" i="2"/>
  <c r="Q91" i="2"/>
  <c r="P91" i="2"/>
  <c r="O91" i="2"/>
  <c r="M91" i="2"/>
  <c r="K91" i="2"/>
  <c r="J91" i="2"/>
  <c r="C91" i="2"/>
  <c r="V90" i="2"/>
  <c r="U90" i="2"/>
  <c r="R90" i="2"/>
  <c r="Q90" i="2"/>
  <c r="P90" i="2"/>
  <c r="O90" i="2"/>
  <c r="M90" i="2"/>
  <c r="K90" i="2"/>
  <c r="J90" i="2"/>
  <c r="C90" i="2"/>
  <c r="V89" i="2"/>
  <c r="U89" i="2"/>
  <c r="R89" i="2"/>
  <c r="Q89" i="2"/>
  <c r="P89" i="2"/>
  <c r="O89" i="2"/>
  <c r="M89" i="2"/>
  <c r="K89" i="2"/>
  <c r="J89" i="2"/>
  <c r="C89" i="2"/>
  <c r="V88" i="2"/>
  <c r="U88" i="2"/>
  <c r="R88" i="2"/>
  <c r="Q88" i="2"/>
  <c r="P88" i="2"/>
  <c r="O88" i="2"/>
  <c r="M88" i="2"/>
  <c r="K88" i="2"/>
  <c r="J88" i="2"/>
  <c r="C88" i="2"/>
  <c r="V87" i="2"/>
  <c r="U87" i="2"/>
  <c r="R87" i="2"/>
  <c r="Q87" i="2"/>
  <c r="P87" i="2"/>
  <c r="O87" i="2"/>
  <c r="M87" i="2"/>
  <c r="K87" i="2"/>
  <c r="J87" i="2"/>
  <c r="C87" i="2"/>
  <c r="V86" i="2"/>
  <c r="U86" i="2"/>
  <c r="R86" i="2"/>
  <c r="Q86" i="2"/>
  <c r="P86" i="2"/>
  <c r="O86" i="2"/>
  <c r="M86" i="2"/>
  <c r="K86" i="2"/>
  <c r="J86" i="2"/>
  <c r="C86" i="2"/>
  <c r="V85" i="2"/>
  <c r="U85" i="2"/>
  <c r="R85" i="2"/>
  <c r="Q85" i="2"/>
  <c r="P85" i="2"/>
  <c r="O85" i="2"/>
  <c r="M85" i="2"/>
  <c r="K85" i="2"/>
  <c r="J85" i="2"/>
  <c r="C85" i="2"/>
  <c r="V84" i="2"/>
  <c r="U84" i="2"/>
  <c r="R84" i="2"/>
  <c r="Q84" i="2"/>
  <c r="P84" i="2"/>
  <c r="O84" i="2"/>
  <c r="M84" i="2"/>
  <c r="K84" i="2"/>
  <c r="J84" i="2"/>
  <c r="C84" i="2"/>
  <c r="V83" i="2"/>
  <c r="U83" i="2"/>
  <c r="R83" i="2"/>
  <c r="Q83" i="2"/>
  <c r="P83" i="2"/>
  <c r="O83" i="2"/>
  <c r="M83" i="2"/>
  <c r="K83" i="2"/>
  <c r="J83" i="2"/>
  <c r="C83" i="2"/>
  <c r="V82" i="2"/>
  <c r="U82" i="2"/>
  <c r="R82" i="2"/>
  <c r="Q82" i="2"/>
  <c r="P82" i="2"/>
  <c r="O82" i="2"/>
  <c r="M82" i="2"/>
  <c r="K82" i="2"/>
  <c r="J82" i="2"/>
  <c r="C82" i="2"/>
  <c r="V81" i="2"/>
  <c r="U81" i="2"/>
  <c r="R81" i="2"/>
  <c r="Q81" i="2"/>
  <c r="P81" i="2"/>
  <c r="O81" i="2"/>
  <c r="M81" i="2"/>
  <c r="K81" i="2"/>
  <c r="J81" i="2"/>
  <c r="C81" i="2"/>
  <c r="V80" i="2"/>
  <c r="U80" i="2"/>
  <c r="R80" i="2"/>
  <c r="Q80" i="2"/>
  <c r="P80" i="2"/>
  <c r="O80" i="2"/>
  <c r="M80" i="2"/>
  <c r="K80" i="2"/>
  <c r="J80" i="2"/>
  <c r="C80" i="2"/>
  <c r="V79" i="2"/>
  <c r="U79" i="2"/>
  <c r="R79" i="2"/>
  <c r="Q79" i="2"/>
  <c r="P79" i="2"/>
  <c r="O79" i="2"/>
  <c r="M79" i="2"/>
  <c r="K79" i="2"/>
  <c r="J79" i="2"/>
  <c r="C79" i="2"/>
  <c r="V78" i="2"/>
  <c r="U78" i="2"/>
  <c r="R78" i="2"/>
  <c r="Q78" i="2"/>
  <c r="P78" i="2"/>
  <c r="O78" i="2"/>
  <c r="M78" i="2"/>
  <c r="K78" i="2"/>
  <c r="J78" i="2"/>
  <c r="C78" i="2"/>
  <c r="V77" i="2"/>
  <c r="U77" i="2"/>
  <c r="R77" i="2"/>
  <c r="Q77" i="2"/>
  <c r="P77" i="2"/>
  <c r="O77" i="2"/>
  <c r="M77" i="2"/>
  <c r="K77" i="2"/>
  <c r="J77" i="2"/>
  <c r="C77" i="2"/>
  <c r="V76" i="2"/>
  <c r="U76" i="2"/>
  <c r="R76" i="2"/>
  <c r="Q76" i="2"/>
  <c r="P76" i="2"/>
  <c r="O76" i="2"/>
  <c r="M76" i="2"/>
  <c r="K76" i="2"/>
  <c r="J76" i="2"/>
  <c r="C76" i="2"/>
  <c r="V75" i="2"/>
  <c r="U75" i="2"/>
  <c r="R75" i="2"/>
  <c r="Q75" i="2"/>
  <c r="P75" i="2"/>
  <c r="O75" i="2"/>
  <c r="M75" i="2"/>
  <c r="K75" i="2"/>
  <c r="J75" i="2"/>
  <c r="C75" i="2"/>
  <c r="V74" i="2"/>
  <c r="U74" i="2"/>
  <c r="R74" i="2"/>
  <c r="Q74" i="2"/>
  <c r="P74" i="2"/>
  <c r="O74" i="2"/>
  <c r="M74" i="2"/>
  <c r="K74" i="2"/>
  <c r="J74" i="2"/>
  <c r="C74" i="2"/>
  <c r="V73" i="2"/>
  <c r="U73" i="2"/>
  <c r="R73" i="2"/>
  <c r="Q73" i="2"/>
  <c r="P73" i="2"/>
  <c r="O73" i="2"/>
  <c r="M73" i="2"/>
  <c r="K73" i="2"/>
  <c r="J73" i="2"/>
  <c r="C73" i="2"/>
  <c r="V72" i="2"/>
  <c r="U72" i="2"/>
  <c r="T72" i="2"/>
  <c r="S72" i="2"/>
  <c r="R72" i="2"/>
  <c r="Q72" i="2"/>
  <c r="P72" i="2"/>
  <c r="O72" i="2"/>
  <c r="M72" i="2"/>
  <c r="K72" i="2"/>
  <c r="J72" i="2"/>
  <c r="C72" i="2"/>
  <c r="V71" i="2"/>
  <c r="U71" i="2"/>
  <c r="R71" i="2"/>
  <c r="Q71" i="2"/>
  <c r="P71" i="2"/>
  <c r="O71" i="2"/>
  <c r="M71" i="2"/>
  <c r="K71" i="2"/>
  <c r="J71" i="2"/>
  <c r="C71" i="2"/>
  <c r="V70" i="2"/>
  <c r="U70" i="2"/>
  <c r="R70" i="2"/>
  <c r="Q70" i="2"/>
  <c r="P70" i="2"/>
  <c r="O70" i="2"/>
  <c r="M70" i="2"/>
  <c r="K70" i="2"/>
  <c r="J70" i="2"/>
  <c r="C70" i="2"/>
  <c r="V69" i="2"/>
  <c r="U69" i="2"/>
  <c r="R69" i="2"/>
  <c r="Q69" i="2"/>
  <c r="P69" i="2"/>
  <c r="O69" i="2"/>
  <c r="M69" i="2"/>
  <c r="K69" i="2"/>
  <c r="J69" i="2"/>
  <c r="C69" i="2"/>
  <c r="V68" i="2"/>
  <c r="U68" i="2"/>
  <c r="R68" i="2"/>
  <c r="Q68" i="2"/>
  <c r="P68" i="2"/>
  <c r="O68" i="2"/>
  <c r="M68" i="2"/>
  <c r="K68" i="2"/>
  <c r="J68" i="2"/>
  <c r="C68" i="2"/>
  <c r="V67" i="2"/>
  <c r="U67" i="2"/>
  <c r="R67" i="2"/>
  <c r="Q67" i="2"/>
  <c r="P67" i="2"/>
  <c r="O67" i="2"/>
  <c r="M67" i="2"/>
  <c r="K67" i="2"/>
  <c r="J67" i="2"/>
  <c r="C67" i="2"/>
  <c r="V66" i="2"/>
  <c r="U66" i="2"/>
  <c r="R66" i="2"/>
  <c r="Q66" i="2"/>
  <c r="P66" i="2"/>
  <c r="O66" i="2"/>
  <c r="M66" i="2"/>
  <c r="K66" i="2"/>
  <c r="J66" i="2"/>
  <c r="C66" i="2"/>
  <c r="V65" i="2"/>
  <c r="U65" i="2"/>
  <c r="R65" i="2"/>
  <c r="Q65" i="2"/>
  <c r="P65" i="2"/>
  <c r="O65" i="2"/>
  <c r="M65" i="2"/>
  <c r="K65" i="2"/>
  <c r="J65" i="2"/>
  <c r="C65" i="2"/>
  <c r="V64" i="2"/>
  <c r="U64" i="2"/>
  <c r="R64" i="2"/>
  <c r="Q64" i="2"/>
  <c r="P64" i="2"/>
  <c r="O64" i="2"/>
  <c r="M64" i="2"/>
  <c r="K64" i="2"/>
  <c r="J64" i="2"/>
  <c r="C64" i="2"/>
  <c r="V63" i="2"/>
  <c r="U63" i="2"/>
  <c r="R63" i="2"/>
  <c r="Q63" i="2"/>
  <c r="P63" i="2"/>
  <c r="O63" i="2"/>
  <c r="M63" i="2"/>
  <c r="K63" i="2"/>
  <c r="J63" i="2"/>
  <c r="C63" i="2"/>
  <c r="V62" i="2"/>
  <c r="U62" i="2"/>
  <c r="R62" i="2"/>
  <c r="Q62" i="2"/>
  <c r="P62" i="2"/>
  <c r="O62" i="2"/>
  <c r="M62" i="2"/>
  <c r="K62" i="2"/>
  <c r="J62" i="2"/>
  <c r="C62" i="2"/>
  <c r="V61" i="2"/>
  <c r="U61" i="2"/>
  <c r="R61" i="2"/>
  <c r="Q61" i="2"/>
  <c r="P61" i="2"/>
  <c r="O61" i="2"/>
  <c r="M61" i="2"/>
  <c r="K61" i="2"/>
  <c r="J61" i="2"/>
  <c r="C61" i="2"/>
  <c r="V60" i="2"/>
  <c r="U60" i="2"/>
  <c r="R60" i="2"/>
  <c r="Q60" i="2"/>
  <c r="P60" i="2"/>
  <c r="O60" i="2"/>
  <c r="M60" i="2"/>
  <c r="K60" i="2"/>
  <c r="J60" i="2"/>
  <c r="C60" i="2"/>
  <c r="V59" i="2"/>
  <c r="U59" i="2"/>
  <c r="R59" i="2"/>
  <c r="Q59" i="2"/>
  <c r="P59" i="2"/>
  <c r="O59" i="2"/>
  <c r="M59" i="2"/>
  <c r="K59" i="2"/>
  <c r="J59" i="2"/>
  <c r="C59" i="2"/>
  <c r="V58" i="2"/>
  <c r="U58" i="2"/>
  <c r="R58" i="2"/>
  <c r="Q58" i="2"/>
  <c r="P58" i="2"/>
  <c r="O58" i="2"/>
  <c r="M58" i="2"/>
  <c r="K58" i="2"/>
  <c r="J58" i="2"/>
  <c r="C58" i="2"/>
  <c r="V57" i="2"/>
  <c r="U57" i="2"/>
  <c r="R57" i="2"/>
  <c r="Q57" i="2"/>
  <c r="P57" i="2"/>
  <c r="O57" i="2"/>
  <c r="M57" i="2"/>
  <c r="K57" i="2"/>
  <c r="J57" i="2"/>
  <c r="C57" i="2"/>
  <c r="V56" i="2"/>
  <c r="U56" i="2"/>
  <c r="R56" i="2"/>
  <c r="Q56" i="2"/>
  <c r="P56" i="2"/>
  <c r="O56" i="2"/>
  <c r="M56" i="2"/>
  <c r="K56" i="2"/>
  <c r="J56" i="2"/>
  <c r="C56" i="2"/>
  <c r="V55" i="2"/>
  <c r="U55" i="2"/>
  <c r="R55" i="2"/>
  <c r="Q55" i="2"/>
  <c r="P55" i="2"/>
  <c r="O55" i="2"/>
  <c r="M55" i="2"/>
  <c r="K55" i="2"/>
  <c r="J55" i="2"/>
  <c r="C55" i="2"/>
  <c r="V54" i="2"/>
  <c r="U54" i="2"/>
  <c r="R54" i="2"/>
  <c r="Q54" i="2"/>
  <c r="P54" i="2"/>
  <c r="O54" i="2"/>
  <c r="M54" i="2"/>
  <c r="K54" i="2"/>
  <c r="J54" i="2"/>
  <c r="C54" i="2"/>
  <c r="V53" i="2"/>
  <c r="U53" i="2"/>
  <c r="R53" i="2"/>
  <c r="Q53" i="2"/>
  <c r="P53" i="2"/>
  <c r="O53" i="2"/>
  <c r="M53" i="2"/>
  <c r="K53" i="2"/>
  <c r="J53" i="2"/>
  <c r="C53" i="2"/>
  <c r="V52" i="2"/>
  <c r="U52" i="2"/>
  <c r="R52" i="2"/>
  <c r="Q52" i="2"/>
  <c r="P52" i="2"/>
  <c r="O52" i="2"/>
  <c r="M52" i="2"/>
  <c r="K52" i="2"/>
  <c r="J52" i="2"/>
  <c r="C52" i="2"/>
  <c r="V51" i="2"/>
  <c r="U51" i="2"/>
  <c r="R51" i="2"/>
  <c r="Q51" i="2"/>
  <c r="P51" i="2"/>
  <c r="O51" i="2"/>
  <c r="M51" i="2"/>
  <c r="K51" i="2"/>
  <c r="J51" i="2"/>
  <c r="C51" i="2"/>
  <c r="V50" i="2"/>
  <c r="U50" i="2"/>
  <c r="R50" i="2"/>
  <c r="Q50" i="2"/>
  <c r="P50" i="2"/>
  <c r="O50" i="2"/>
  <c r="M50" i="2"/>
  <c r="K50" i="2"/>
  <c r="J50" i="2"/>
  <c r="C50" i="2"/>
  <c r="V49" i="2"/>
  <c r="U49" i="2"/>
  <c r="R49" i="2"/>
  <c r="Q49" i="2"/>
  <c r="P49" i="2"/>
  <c r="O49" i="2"/>
  <c r="M49" i="2"/>
  <c r="K49" i="2"/>
  <c r="J49" i="2"/>
  <c r="C49" i="2"/>
  <c r="V48" i="2"/>
  <c r="U48" i="2"/>
  <c r="R48" i="2"/>
  <c r="Q48" i="2"/>
  <c r="P48" i="2"/>
  <c r="O48" i="2"/>
  <c r="M48" i="2"/>
  <c r="K48" i="2"/>
  <c r="J48" i="2"/>
  <c r="C48" i="2"/>
  <c r="V47" i="2"/>
  <c r="U47" i="2"/>
  <c r="T47" i="2"/>
  <c r="S47" i="2"/>
  <c r="R47" i="2"/>
  <c r="Q47" i="2"/>
  <c r="P47" i="2"/>
  <c r="O47" i="2"/>
  <c r="N47" i="2"/>
  <c r="M47" i="2"/>
  <c r="K47" i="2"/>
  <c r="L47" i="2" s="1"/>
  <c r="J47" i="2"/>
  <c r="C47" i="2"/>
  <c r="V46" i="2"/>
  <c r="U46" i="2"/>
  <c r="R46" i="2"/>
  <c r="Q46" i="2"/>
  <c r="P46" i="2"/>
  <c r="O46" i="2"/>
  <c r="M46" i="2"/>
  <c r="K46" i="2"/>
  <c r="J46" i="2"/>
  <c r="C46" i="2"/>
  <c r="V45" i="2"/>
  <c r="U45" i="2"/>
  <c r="R45" i="2"/>
  <c r="Q45" i="2"/>
  <c r="P45" i="2"/>
  <c r="O45" i="2"/>
  <c r="M45" i="2"/>
  <c r="K45" i="2"/>
  <c r="J45" i="2"/>
  <c r="C45" i="2"/>
  <c r="V44" i="2"/>
  <c r="U44" i="2"/>
  <c r="R44" i="2"/>
  <c r="Q44" i="2"/>
  <c r="P44" i="2"/>
  <c r="O44" i="2"/>
  <c r="M44" i="2"/>
  <c r="K44" i="2"/>
  <c r="J44" i="2"/>
  <c r="C44" i="2"/>
  <c r="V43" i="2"/>
  <c r="U43" i="2"/>
  <c r="R43" i="2"/>
  <c r="Q43" i="2"/>
  <c r="P43" i="2"/>
  <c r="O43" i="2"/>
  <c r="M43" i="2"/>
  <c r="K43" i="2"/>
  <c r="J43" i="2"/>
  <c r="C43" i="2"/>
  <c r="V42" i="2"/>
  <c r="U42" i="2"/>
  <c r="R42" i="2"/>
  <c r="Q42" i="2"/>
  <c r="P42" i="2"/>
  <c r="O42" i="2"/>
  <c r="M42" i="2"/>
  <c r="K42" i="2"/>
  <c r="J42" i="2"/>
  <c r="C42" i="2"/>
  <c r="V41" i="2"/>
  <c r="U41" i="2"/>
  <c r="R41" i="2"/>
  <c r="Q41" i="2"/>
  <c r="P41" i="2"/>
  <c r="O41" i="2"/>
  <c r="M41" i="2"/>
  <c r="K41" i="2"/>
  <c r="J41" i="2"/>
  <c r="C41" i="2"/>
  <c r="V40" i="2"/>
  <c r="U40" i="2"/>
  <c r="R40" i="2"/>
  <c r="Q40" i="2"/>
  <c r="P40" i="2"/>
  <c r="O40" i="2"/>
  <c r="M40" i="2"/>
  <c r="K40" i="2"/>
  <c r="J40" i="2"/>
  <c r="C40" i="2"/>
  <c r="V39" i="2"/>
  <c r="U39" i="2"/>
  <c r="R39" i="2"/>
  <c r="Q39" i="2"/>
  <c r="P39" i="2"/>
  <c r="O39" i="2"/>
  <c r="M39" i="2"/>
  <c r="K39" i="2"/>
  <c r="J39" i="2"/>
  <c r="C39" i="2"/>
  <c r="V38" i="2"/>
  <c r="U38" i="2"/>
  <c r="R38" i="2"/>
  <c r="Q38" i="2"/>
  <c r="P38" i="2"/>
  <c r="O38" i="2"/>
  <c r="M38" i="2"/>
  <c r="K38" i="2"/>
  <c r="J38" i="2"/>
  <c r="C38" i="2"/>
  <c r="V37" i="2"/>
  <c r="U37" i="2"/>
  <c r="R37" i="2"/>
  <c r="Q37" i="2"/>
  <c r="P37" i="2"/>
  <c r="O37" i="2"/>
  <c r="M37" i="2"/>
  <c r="K37" i="2"/>
  <c r="J37" i="2"/>
  <c r="C37" i="2"/>
  <c r="V36" i="2"/>
  <c r="U36" i="2"/>
  <c r="R36" i="2"/>
  <c r="Q36" i="2"/>
  <c r="P36" i="2"/>
  <c r="O36" i="2"/>
  <c r="M36" i="2"/>
  <c r="K36" i="2"/>
  <c r="J36" i="2"/>
  <c r="C36" i="2"/>
  <c r="V35" i="2"/>
  <c r="U35" i="2"/>
  <c r="R35" i="2"/>
  <c r="Q35" i="2"/>
  <c r="P35" i="2"/>
  <c r="O35" i="2"/>
  <c r="M35" i="2"/>
  <c r="K35" i="2"/>
  <c r="J35" i="2"/>
  <c r="C35" i="2"/>
  <c r="V34" i="2"/>
  <c r="U34" i="2"/>
  <c r="R34" i="2"/>
  <c r="Q34" i="2"/>
  <c r="P34" i="2"/>
  <c r="O34" i="2"/>
  <c r="M34" i="2"/>
  <c r="K34" i="2"/>
  <c r="J34" i="2"/>
  <c r="C34" i="2"/>
  <c r="V33" i="2"/>
  <c r="U33" i="2"/>
  <c r="R33" i="2"/>
  <c r="Q33" i="2"/>
  <c r="P33" i="2"/>
  <c r="O33" i="2"/>
  <c r="M33" i="2"/>
  <c r="K33" i="2"/>
  <c r="J33" i="2"/>
  <c r="C33" i="2"/>
  <c r="V32" i="2"/>
  <c r="U32" i="2"/>
  <c r="R32" i="2"/>
  <c r="Q32" i="2"/>
  <c r="P32" i="2"/>
  <c r="O32" i="2"/>
  <c r="M32" i="2"/>
  <c r="K32" i="2"/>
  <c r="J32" i="2"/>
  <c r="C32" i="2"/>
  <c r="V31" i="2"/>
  <c r="U31" i="2"/>
  <c r="R31" i="2"/>
  <c r="Q31" i="2"/>
  <c r="P31" i="2"/>
  <c r="O31" i="2"/>
  <c r="M31" i="2"/>
  <c r="K31" i="2"/>
  <c r="J31" i="2"/>
  <c r="C31" i="2"/>
  <c r="V30" i="2"/>
  <c r="U30" i="2"/>
  <c r="R30" i="2"/>
  <c r="Q30" i="2"/>
  <c r="P30" i="2"/>
  <c r="O30" i="2"/>
  <c r="M30" i="2"/>
  <c r="K30" i="2"/>
  <c r="J30" i="2"/>
  <c r="C30" i="2"/>
  <c r="V29" i="2"/>
  <c r="U29" i="2"/>
  <c r="R29" i="2"/>
  <c r="Q29" i="2"/>
  <c r="P29" i="2"/>
  <c r="O29" i="2"/>
  <c r="M29" i="2"/>
  <c r="K29" i="2"/>
  <c r="J29" i="2"/>
  <c r="C29" i="2"/>
  <c r="V28" i="2"/>
  <c r="U28" i="2"/>
  <c r="R28" i="2"/>
  <c r="Q28" i="2"/>
  <c r="P28" i="2"/>
  <c r="O28" i="2"/>
  <c r="M28" i="2"/>
  <c r="K28" i="2"/>
  <c r="J28" i="2"/>
  <c r="C28" i="2"/>
  <c r="V27" i="2"/>
  <c r="U27" i="2"/>
  <c r="R27" i="2"/>
  <c r="Q27" i="2"/>
  <c r="P27" i="2"/>
  <c r="O27" i="2"/>
  <c r="M27" i="2"/>
  <c r="K27" i="2"/>
  <c r="J27" i="2"/>
  <c r="C27" i="2"/>
  <c r="V26" i="2"/>
  <c r="R26" i="2"/>
  <c r="Q26" i="2"/>
  <c r="P26" i="2"/>
  <c r="M26" i="2"/>
  <c r="J26" i="2"/>
  <c r="K26" i="2" s="1"/>
  <c r="C26" i="2"/>
  <c r="V25" i="2"/>
  <c r="R25" i="2"/>
  <c r="Q25" i="2"/>
  <c r="P25" i="2"/>
  <c r="M25" i="2"/>
  <c r="J25" i="2"/>
  <c r="K25" i="2" s="1"/>
  <c r="C25" i="2"/>
  <c r="V24" i="2"/>
  <c r="R24" i="2"/>
  <c r="Q24" i="2"/>
  <c r="P24" i="2"/>
  <c r="M24" i="2"/>
  <c r="J24" i="2"/>
  <c r="K24" i="2" s="1"/>
  <c r="C24" i="2"/>
  <c r="V23" i="2"/>
  <c r="R23" i="2"/>
  <c r="Q23" i="2"/>
  <c r="P23" i="2"/>
  <c r="M23" i="2"/>
  <c r="J23" i="2"/>
  <c r="K23" i="2" s="1"/>
  <c r="C23" i="2"/>
  <c r="V22" i="2"/>
  <c r="R22" i="2"/>
  <c r="Q22" i="2"/>
  <c r="P22" i="2"/>
  <c r="M22" i="2"/>
  <c r="J22" i="2"/>
  <c r="K22" i="2" s="1"/>
  <c r="C22" i="2"/>
  <c r="V21" i="2"/>
  <c r="R21" i="2"/>
  <c r="Q21" i="2"/>
  <c r="P21" i="2"/>
  <c r="M21" i="2"/>
  <c r="J21" i="2"/>
  <c r="K21" i="2" s="1"/>
  <c r="C21" i="2"/>
  <c r="V20" i="2"/>
  <c r="R20" i="2"/>
  <c r="Q20" i="2"/>
  <c r="P20" i="2"/>
  <c r="M20" i="2"/>
  <c r="J20" i="2"/>
  <c r="K20" i="2" s="1"/>
  <c r="C20" i="2"/>
  <c r="V19" i="2"/>
  <c r="R19" i="2"/>
  <c r="Q19" i="2"/>
  <c r="P19" i="2"/>
  <c r="O19" i="2"/>
  <c r="M19" i="2"/>
  <c r="J19" i="2"/>
  <c r="K19" i="2" s="1"/>
  <c r="C19" i="2"/>
  <c r="V18" i="2"/>
  <c r="R18" i="2"/>
  <c r="Q18" i="2"/>
  <c r="P18" i="2"/>
  <c r="M18" i="2"/>
  <c r="J18" i="2"/>
  <c r="K18" i="2" s="1"/>
  <c r="C18" i="2"/>
  <c r="V17" i="2"/>
  <c r="R17" i="2"/>
  <c r="Q17" i="2"/>
  <c r="P17" i="2"/>
  <c r="M17" i="2"/>
  <c r="J17" i="2"/>
  <c r="K17" i="2" s="1"/>
  <c r="C17" i="2"/>
  <c r="V16" i="2"/>
  <c r="R16" i="2"/>
  <c r="Q16" i="2"/>
  <c r="P16" i="2"/>
  <c r="M16" i="2"/>
  <c r="J16" i="2"/>
  <c r="K16" i="2" s="1"/>
  <c r="C16" i="2"/>
  <c r="V15" i="2"/>
  <c r="R15" i="2"/>
  <c r="Q15" i="2"/>
  <c r="P15" i="2"/>
  <c r="M15" i="2"/>
  <c r="J15" i="2"/>
  <c r="K15" i="2" s="1"/>
  <c r="C15" i="2"/>
  <c r="V14" i="2"/>
  <c r="R14" i="2"/>
  <c r="Q14" i="2"/>
  <c r="P14" i="2"/>
  <c r="O14" i="2"/>
  <c r="M14" i="2"/>
  <c r="J14" i="2"/>
  <c r="K14" i="2" s="1"/>
  <c r="C14" i="2"/>
  <c r="V13" i="2"/>
  <c r="U13" i="2"/>
  <c r="T13" i="2"/>
  <c r="S13" i="2"/>
  <c r="R13" i="2"/>
  <c r="Q13" i="2"/>
  <c r="P13" i="2"/>
  <c r="M13" i="2"/>
  <c r="J13" i="2"/>
  <c r="K13" i="2" s="1"/>
  <c r="C13" i="2"/>
  <c r="O13" i="2" s="1"/>
  <c r="V12" i="2"/>
  <c r="R12" i="2"/>
  <c r="Q12" i="2"/>
  <c r="P12" i="2"/>
  <c r="M12" i="2"/>
  <c r="J12" i="2"/>
  <c r="K12" i="2" s="1"/>
  <c r="C12" i="2"/>
  <c r="V11" i="2"/>
  <c r="R11" i="2"/>
  <c r="Q11" i="2"/>
  <c r="P11" i="2"/>
  <c r="M11" i="2"/>
  <c r="J11" i="2"/>
  <c r="K11" i="2" s="1"/>
  <c r="C11" i="2"/>
  <c r="V10" i="2"/>
  <c r="R10" i="2"/>
  <c r="Q10" i="2"/>
  <c r="P10" i="2"/>
  <c r="M10" i="2"/>
  <c r="J10" i="2"/>
  <c r="K10" i="2" s="1"/>
  <c r="C10" i="2"/>
  <c r="V9" i="2"/>
  <c r="R9" i="2"/>
  <c r="Q9" i="2"/>
  <c r="P9" i="2"/>
  <c r="M9" i="2"/>
  <c r="J9" i="2"/>
  <c r="K9" i="2" s="1"/>
  <c r="C9" i="2"/>
  <c r="V8" i="2"/>
  <c r="R8" i="2"/>
  <c r="Q8" i="2"/>
  <c r="P8" i="2"/>
  <c r="M8" i="2"/>
  <c r="J8" i="2"/>
  <c r="K8" i="2" s="1"/>
  <c r="C8" i="2"/>
  <c r="V7" i="2"/>
  <c r="R7" i="2"/>
  <c r="Q7" i="2"/>
  <c r="P7" i="2"/>
  <c r="M7" i="2"/>
  <c r="J7" i="2"/>
  <c r="K7" i="2" s="1"/>
  <c r="C7" i="2"/>
  <c r="V6" i="2"/>
  <c r="R6" i="2"/>
  <c r="Q6" i="2"/>
  <c r="P6" i="2"/>
  <c r="M6" i="2"/>
  <c r="J6" i="2"/>
  <c r="K6" i="2" s="1"/>
  <c r="C6" i="2"/>
  <c r="V5" i="2"/>
  <c r="R5" i="2"/>
  <c r="Q5" i="2"/>
  <c r="P5" i="2"/>
  <c r="O5" i="2"/>
  <c r="M5" i="2"/>
  <c r="J5" i="2"/>
  <c r="K5" i="2" s="1"/>
  <c r="C5" i="2"/>
  <c r="V4" i="2"/>
  <c r="R4" i="2"/>
  <c r="Q4" i="2"/>
  <c r="P4" i="2"/>
  <c r="M4" i="2"/>
  <c r="K4" i="2"/>
  <c r="J4" i="2"/>
  <c r="C4" i="2"/>
  <c r="V3" i="2"/>
  <c r="R3" i="2"/>
  <c r="Q3" i="2"/>
  <c r="P3" i="2"/>
  <c r="M3" i="2"/>
  <c r="J3" i="2"/>
  <c r="K3" i="2" s="1"/>
  <c r="C3" i="2"/>
  <c r="V2" i="2"/>
  <c r="R2" i="2"/>
  <c r="Q2" i="2"/>
  <c r="P2" i="2"/>
  <c r="M2" i="2"/>
  <c r="J2" i="2"/>
  <c r="K2" i="2" s="1"/>
  <c r="C2" i="2"/>
  <c r="F24" i="1"/>
  <c r="E24" i="1"/>
  <c r="G24" i="1" s="1"/>
  <c r="F23" i="1"/>
  <c r="E23" i="1"/>
  <c r="G23" i="1" s="1"/>
  <c r="F22" i="1"/>
  <c r="F21" i="1"/>
  <c r="F20" i="1"/>
  <c r="E20" i="1"/>
  <c r="G20" i="1" s="1"/>
  <c r="B19" i="1"/>
  <c r="B18" i="1"/>
  <c r="C38" i="3" l="1"/>
  <c r="B38" i="3"/>
  <c r="C37" i="3"/>
  <c r="B37" i="3"/>
  <c r="D37" i="3" s="1"/>
  <c r="C36" i="3"/>
  <c r="B36" i="3"/>
  <c r="C35" i="3"/>
  <c r="B35" i="3"/>
  <c r="C34" i="3"/>
  <c r="B34" i="3"/>
  <c r="D34" i="3" s="1"/>
  <c r="C33" i="3"/>
  <c r="B33" i="3"/>
  <c r="C32" i="3"/>
  <c r="B32" i="3"/>
  <c r="C31" i="3"/>
  <c r="B31" i="3"/>
  <c r="D31" i="3" s="1"/>
  <c r="C30" i="3"/>
  <c r="B30" i="3"/>
  <c r="D30" i="3" s="1"/>
  <c r="C29" i="3"/>
  <c r="B29" i="3"/>
  <c r="C28" i="3"/>
  <c r="B28" i="3"/>
  <c r="C27" i="3"/>
  <c r="B27" i="3"/>
  <c r="D27" i="3" s="1"/>
  <c r="C26" i="3"/>
  <c r="B26" i="3"/>
  <c r="D26" i="3" s="1"/>
  <c r="C25" i="3"/>
  <c r="B25" i="3"/>
  <c r="C24" i="3"/>
  <c r="B24" i="3"/>
  <c r="C23" i="3"/>
  <c r="B23" i="3"/>
  <c r="D23" i="3" s="1"/>
  <c r="C11" i="3"/>
  <c r="B11" i="3"/>
  <c r="H10" i="3"/>
  <c r="F10" i="3"/>
  <c r="E10" i="3"/>
  <c r="G10" i="3" s="1"/>
  <c r="C10" i="3"/>
  <c r="B10" i="3"/>
  <c r="D10" i="3" s="1"/>
  <c r="O9" i="3"/>
  <c r="N9" i="3"/>
  <c r="P9" i="3" s="1"/>
  <c r="L9" i="3"/>
  <c r="K9" i="3"/>
  <c r="H9" i="3"/>
  <c r="F9" i="3"/>
  <c r="E9" i="3"/>
  <c r="G9" i="3" s="1"/>
  <c r="C9" i="3"/>
  <c r="B9" i="3"/>
  <c r="D9" i="3" s="1"/>
  <c r="O8" i="3"/>
  <c r="N8" i="3"/>
  <c r="P8" i="3" s="1"/>
  <c r="L8" i="3"/>
  <c r="K8" i="3"/>
  <c r="H8" i="3"/>
  <c r="F8" i="3"/>
  <c r="E8" i="3"/>
  <c r="G8" i="3" s="1"/>
  <c r="C8" i="3"/>
  <c r="B8" i="3"/>
  <c r="D8" i="3" s="1"/>
  <c r="O7" i="3"/>
  <c r="N7" i="3"/>
  <c r="P7" i="3" s="1"/>
  <c r="L7" i="3"/>
  <c r="K7" i="3"/>
  <c r="M7" i="3" s="1"/>
  <c r="H7" i="3"/>
  <c r="F7" i="3"/>
  <c r="E7" i="3"/>
  <c r="G7" i="3" s="1"/>
  <c r="C7" i="3"/>
  <c r="B7" i="3"/>
  <c r="O6" i="3"/>
  <c r="O10" i="3" s="1"/>
  <c r="N6" i="3"/>
  <c r="L6" i="3"/>
  <c r="L10" i="3" s="1"/>
  <c r="K6" i="3"/>
  <c r="H6" i="3"/>
  <c r="F6" i="3"/>
  <c r="F18" i="3" s="1"/>
  <c r="E6" i="3"/>
  <c r="C6" i="3"/>
  <c r="C18" i="3" s="1"/>
  <c r="B6" i="3"/>
  <c r="N151" i="2"/>
  <c r="L151" i="2"/>
  <c r="T151" i="2"/>
  <c r="S151" i="2"/>
  <c r="N150" i="2"/>
  <c r="L150" i="2"/>
  <c r="T150" i="2"/>
  <c r="S150" i="2"/>
  <c r="N149" i="2"/>
  <c r="L149" i="2"/>
  <c r="T149" i="2"/>
  <c r="S149" i="2"/>
  <c r="L148" i="2"/>
  <c r="N148" i="2"/>
  <c r="T148" i="2"/>
  <c r="S148" i="2"/>
  <c r="N147" i="2"/>
  <c r="L147" i="2"/>
  <c r="T147" i="2"/>
  <c r="S147" i="2"/>
  <c r="N146" i="2"/>
  <c r="L146" i="2"/>
  <c r="T146" i="2"/>
  <c r="S146" i="2"/>
  <c r="N145" i="2"/>
  <c r="L145" i="2"/>
  <c r="T145" i="2"/>
  <c r="S145" i="2"/>
  <c r="N144" i="2"/>
  <c r="L144" i="2"/>
  <c r="T144" i="2"/>
  <c r="S144" i="2"/>
  <c r="N143" i="2"/>
  <c r="L143" i="2"/>
  <c r="T143" i="2"/>
  <c r="S143" i="2"/>
  <c r="N142" i="2"/>
  <c r="L142" i="2"/>
  <c r="T142" i="2"/>
  <c r="S142" i="2"/>
  <c r="N141" i="2"/>
  <c r="L141" i="2"/>
  <c r="T141" i="2"/>
  <c r="S141" i="2"/>
  <c r="N140" i="2"/>
  <c r="L140" i="2"/>
  <c r="T140" i="2"/>
  <c r="S140" i="2"/>
  <c r="N139" i="2"/>
  <c r="L139" i="2"/>
  <c r="T139" i="2"/>
  <c r="S139" i="2"/>
  <c r="N138" i="2"/>
  <c r="L138" i="2"/>
  <c r="T138" i="2"/>
  <c r="S138" i="2"/>
  <c r="L137" i="2"/>
  <c r="N137" i="2"/>
  <c r="T137" i="2"/>
  <c r="S137" i="2"/>
  <c r="N136" i="2"/>
  <c r="L136" i="2"/>
  <c r="T136" i="2"/>
  <c r="S136" i="2"/>
  <c r="N135" i="2"/>
  <c r="L135" i="2"/>
  <c r="T135" i="2"/>
  <c r="S135" i="2"/>
  <c r="N134" i="2"/>
  <c r="L134" i="2"/>
  <c r="T134" i="2"/>
  <c r="S134" i="2"/>
  <c r="N133" i="2"/>
  <c r="L133" i="2"/>
  <c r="T133" i="2"/>
  <c r="S133" i="2"/>
  <c r="N132" i="2"/>
  <c r="L132" i="2"/>
  <c r="S132" i="2"/>
  <c r="T132" i="2"/>
  <c r="L131" i="2"/>
  <c r="N131" i="2"/>
  <c r="L130" i="2"/>
  <c r="N130" i="2"/>
  <c r="S130" i="2"/>
  <c r="T130" i="2"/>
  <c r="L129" i="2"/>
  <c r="N129" i="2"/>
  <c r="S129" i="2"/>
  <c r="T129" i="2"/>
  <c r="N128" i="2"/>
  <c r="L128" i="2"/>
  <c r="S128" i="2"/>
  <c r="T128" i="2"/>
  <c r="L127" i="2"/>
  <c r="N127" i="2"/>
  <c r="S127" i="2"/>
  <c r="T127" i="2"/>
  <c r="N126" i="2"/>
  <c r="L126" i="2"/>
  <c r="T126" i="2"/>
  <c r="S126" i="2"/>
  <c r="N125" i="2"/>
  <c r="L125" i="2"/>
  <c r="T125" i="2"/>
  <c r="S125" i="2"/>
  <c r="N124" i="2"/>
  <c r="L124" i="2"/>
  <c r="T124" i="2"/>
  <c r="S124" i="2"/>
  <c r="N123" i="2"/>
  <c r="L123" i="2"/>
  <c r="N122" i="2"/>
  <c r="L122" i="2"/>
  <c r="S122" i="2"/>
  <c r="T122" i="2"/>
  <c r="L121" i="2"/>
  <c r="N121" i="2"/>
  <c r="S121" i="2"/>
  <c r="T121" i="2"/>
  <c r="N120" i="2"/>
  <c r="L120" i="2"/>
  <c r="T120" i="2"/>
  <c r="S120" i="2"/>
  <c r="L119" i="2"/>
  <c r="N119" i="2"/>
  <c r="T119" i="2"/>
  <c r="S119" i="2"/>
  <c r="N118" i="2"/>
  <c r="L118" i="2"/>
  <c r="S118" i="2"/>
  <c r="T118" i="2"/>
  <c r="L117" i="2"/>
  <c r="N117" i="2"/>
  <c r="S117" i="2"/>
  <c r="T117" i="2"/>
  <c r="L116" i="2"/>
  <c r="N116" i="2"/>
  <c r="T116" i="2"/>
  <c r="S116" i="2"/>
  <c r="L115" i="2"/>
  <c r="N115" i="2"/>
  <c r="S115" i="2"/>
  <c r="T115" i="2"/>
  <c r="N114" i="2"/>
  <c r="L114" i="2"/>
  <c r="S114" i="2"/>
  <c r="T114" i="2"/>
  <c r="L113" i="2"/>
  <c r="N113" i="2"/>
  <c r="S113" i="2"/>
  <c r="T113" i="2"/>
  <c r="N112" i="2"/>
  <c r="L112" i="2"/>
  <c r="T112" i="2"/>
  <c r="S112" i="2"/>
  <c r="L111" i="2"/>
  <c r="N111" i="2"/>
  <c r="T111" i="2"/>
  <c r="S111" i="2"/>
  <c r="N110" i="2"/>
  <c r="L110" i="2"/>
  <c r="S110" i="2"/>
  <c r="T110" i="2"/>
  <c r="L109" i="2"/>
  <c r="N109" i="2"/>
  <c r="S109" i="2"/>
  <c r="T109" i="2"/>
  <c r="L108" i="2"/>
  <c r="N108" i="2"/>
  <c r="S108" i="2"/>
  <c r="T108" i="2"/>
  <c r="N107" i="2"/>
  <c r="L107" i="2"/>
  <c r="S107" i="2"/>
  <c r="T107" i="2"/>
  <c r="L105" i="2"/>
  <c r="N105" i="2"/>
  <c r="T105" i="2"/>
  <c r="S105" i="2"/>
  <c r="L104" i="2"/>
  <c r="N104" i="2"/>
  <c r="S104" i="2"/>
  <c r="T104" i="2"/>
  <c r="L103" i="2"/>
  <c r="N103" i="2"/>
  <c r="S103" i="2"/>
  <c r="T103" i="2"/>
  <c r="N102" i="2"/>
  <c r="L102" i="2"/>
  <c r="T102" i="2"/>
  <c r="S102" i="2"/>
  <c r="N101" i="2"/>
  <c r="L101" i="2"/>
  <c r="S101" i="2"/>
  <c r="T101" i="2"/>
  <c r="N100" i="2"/>
  <c r="L100" i="2"/>
  <c r="T100" i="2"/>
  <c r="S100" i="2"/>
  <c r="L99" i="2"/>
  <c r="N99" i="2"/>
  <c r="S99" i="2"/>
  <c r="T99" i="2"/>
  <c r="L98" i="2"/>
  <c r="N98" i="2"/>
  <c r="S98" i="2"/>
  <c r="T98" i="2"/>
  <c r="L97" i="2"/>
  <c r="N97" i="2"/>
  <c r="S97" i="2"/>
  <c r="T97" i="2"/>
  <c r="N96" i="2"/>
  <c r="L96" i="2"/>
  <c r="S96" i="2"/>
  <c r="T96" i="2"/>
  <c r="L95" i="2"/>
  <c r="N95" i="2"/>
  <c r="S95" i="2"/>
  <c r="T95" i="2"/>
  <c r="L94" i="2"/>
  <c r="N94" i="2"/>
  <c r="S94" i="2"/>
  <c r="T94" i="2"/>
  <c r="N93" i="2"/>
  <c r="L93" i="2"/>
  <c r="T93" i="2"/>
  <c r="S93" i="2"/>
  <c r="L92" i="2"/>
  <c r="N92" i="2"/>
  <c r="S92" i="2"/>
  <c r="T92" i="2"/>
  <c r="N91" i="2"/>
  <c r="L91" i="2"/>
  <c r="T91" i="2"/>
  <c r="S91" i="2"/>
  <c r="L90" i="2"/>
  <c r="N90" i="2"/>
  <c r="S90" i="2"/>
  <c r="T90" i="2"/>
  <c r="N89" i="2"/>
  <c r="L89" i="2"/>
  <c r="S89" i="2"/>
  <c r="T89" i="2"/>
  <c r="L88" i="2"/>
  <c r="N88" i="2"/>
  <c r="S88" i="2"/>
  <c r="T88" i="2"/>
  <c r="N87" i="2"/>
  <c r="L87" i="2"/>
  <c r="S87" i="2"/>
  <c r="T87" i="2"/>
  <c r="N86" i="2"/>
  <c r="L86" i="2"/>
  <c r="S86" i="2"/>
  <c r="T86" i="2"/>
  <c r="N85" i="2"/>
  <c r="L85" i="2"/>
  <c r="T85" i="2"/>
  <c r="S85" i="2"/>
  <c r="N84" i="2"/>
  <c r="L84" i="2"/>
  <c r="T84" i="2"/>
  <c r="S84" i="2"/>
  <c r="L83" i="2"/>
  <c r="N83" i="2"/>
  <c r="S83" i="2"/>
  <c r="T83" i="2"/>
  <c r="L82" i="2"/>
  <c r="N82" i="2"/>
  <c r="S82" i="2"/>
  <c r="T82" i="2"/>
  <c r="L81" i="2"/>
  <c r="N81" i="2"/>
  <c r="S81" i="2"/>
  <c r="T81" i="2"/>
  <c r="L80" i="2"/>
  <c r="N80" i="2"/>
  <c r="S80" i="2"/>
  <c r="T80" i="2"/>
  <c r="L79" i="2"/>
  <c r="N79" i="2"/>
  <c r="S79" i="2"/>
  <c r="T79" i="2"/>
  <c r="N78" i="2"/>
  <c r="L78" i="2"/>
  <c r="T78" i="2"/>
  <c r="S78" i="2"/>
  <c r="N77" i="2"/>
  <c r="L77" i="2"/>
  <c r="T77" i="2"/>
  <c r="S77" i="2"/>
  <c r="N76" i="2"/>
  <c r="L76" i="2"/>
  <c r="T76" i="2"/>
  <c r="S76" i="2"/>
  <c r="N75" i="2"/>
  <c r="L75" i="2"/>
  <c r="T75" i="2"/>
  <c r="S75" i="2"/>
  <c r="L74" i="2"/>
  <c r="N74" i="2"/>
  <c r="T74" i="2"/>
  <c r="S74" i="2"/>
  <c r="L73" i="2"/>
  <c r="N73" i="2"/>
  <c r="T73" i="2"/>
  <c r="S73" i="2"/>
  <c r="L72" i="2"/>
  <c r="N72" i="2"/>
  <c r="L71" i="2"/>
  <c r="N71" i="2"/>
  <c r="T71" i="2"/>
  <c r="S71" i="2"/>
  <c r="L70" i="2"/>
  <c r="N70" i="2"/>
  <c r="S70" i="2"/>
  <c r="T70" i="2"/>
  <c r="L69" i="2"/>
  <c r="N69" i="2"/>
  <c r="T69" i="2"/>
  <c r="S69" i="2"/>
  <c r="N68" i="2"/>
  <c r="L68" i="2"/>
  <c r="S68" i="2"/>
  <c r="T68" i="2"/>
  <c r="L67" i="2"/>
  <c r="N67" i="2"/>
  <c r="T67" i="2"/>
  <c r="S67" i="2"/>
  <c r="N66" i="2"/>
  <c r="L66" i="2"/>
  <c r="S66" i="2"/>
  <c r="T66" i="2"/>
  <c r="L65" i="2"/>
  <c r="N65" i="2"/>
  <c r="T65" i="2"/>
  <c r="S65" i="2"/>
  <c r="N64" i="2"/>
  <c r="L64" i="2"/>
  <c r="T64" i="2"/>
  <c r="S64" i="2"/>
  <c r="N63" i="2"/>
  <c r="L63" i="2"/>
  <c r="T63" i="2"/>
  <c r="S63" i="2"/>
  <c r="L62" i="2"/>
  <c r="N62" i="2"/>
  <c r="T62" i="2"/>
  <c r="S62" i="2"/>
  <c r="L61" i="2"/>
  <c r="N61" i="2"/>
  <c r="S61" i="2"/>
  <c r="T61" i="2"/>
  <c r="N60" i="2"/>
  <c r="L60" i="2"/>
  <c r="T60" i="2"/>
  <c r="S60" i="2"/>
  <c r="N59" i="2"/>
  <c r="L59" i="2"/>
  <c r="S59" i="2"/>
  <c r="T59" i="2"/>
  <c r="L58" i="2"/>
  <c r="N58" i="2"/>
  <c r="T58" i="2"/>
  <c r="S58" i="2"/>
  <c r="N57" i="2"/>
  <c r="L57" i="2"/>
  <c r="S57" i="2"/>
  <c r="T57" i="2"/>
  <c r="N56" i="2"/>
  <c r="L56" i="2"/>
  <c r="S56" i="2"/>
  <c r="T56" i="2"/>
  <c r="N55" i="2"/>
  <c r="L55" i="2"/>
  <c r="S55" i="2"/>
  <c r="T55" i="2"/>
  <c r="N54" i="2"/>
  <c r="L54" i="2"/>
  <c r="T54" i="2"/>
  <c r="S54" i="2"/>
  <c r="N53" i="2"/>
  <c r="L53" i="2"/>
  <c r="T53" i="2"/>
  <c r="S53" i="2"/>
  <c r="N52" i="2"/>
  <c r="L52" i="2"/>
  <c r="T52" i="2"/>
  <c r="S52" i="2"/>
  <c r="N51" i="2"/>
  <c r="L51" i="2"/>
  <c r="T51" i="2"/>
  <c r="S51" i="2"/>
  <c r="L50" i="2"/>
  <c r="N50" i="2"/>
  <c r="T50" i="2"/>
  <c r="S50" i="2"/>
  <c r="N49" i="2"/>
  <c r="L49" i="2"/>
  <c r="T49" i="2"/>
  <c r="S49" i="2"/>
  <c r="L48" i="2"/>
  <c r="N48" i="2"/>
  <c r="T48" i="2"/>
  <c r="S48" i="2"/>
  <c r="L46" i="2"/>
  <c r="N46" i="2"/>
  <c r="S46" i="2"/>
  <c r="T46" i="2"/>
  <c r="N45" i="2"/>
  <c r="L45" i="2"/>
  <c r="T45" i="2"/>
  <c r="S45" i="2"/>
  <c r="N44" i="2"/>
  <c r="L44" i="2"/>
  <c r="T44" i="2"/>
  <c r="S44" i="2"/>
  <c r="N43" i="2"/>
  <c r="L43" i="2"/>
  <c r="T43" i="2"/>
  <c r="S43" i="2"/>
  <c r="N42" i="2"/>
  <c r="L42" i="2"/>
  <c r="T42" i="2"/>
  <c r="S42" i="2"/>
  <c r="L41" i="2"/>
  <c r="N41" i="2"/>
  <c r="T41" i="2"/>
  <c r="S41" i="2"/>
  <c r="N40" i="2"/>
  <c r="L40" i="2"/>
  <c r="T40" i="2"/>
  <c r="S40" i="2"/>
  <c r="N39" i="2"/>
  <c r="L39" i="2"/>
  <c r="S39" i="2"/>
  <c r="T39" i="2"/>
  <c r="L38" i="2"/>
  <c r="N38" i="2"/>
  <c r="T38" i="2"/>
  <c r="S38" i="2"/>
  <c r="L37" i="2"/>
  <c r="N37" i="2"/>
  <c r="S37" i="2"/>
  <c r="T37" i="2"/>
  <c r="L36" i="2"/>
  <c r="N36" i="2"/>
  <c r="S36" i="2"/>
  <c r="T36" i="2"/>
  <c r="L35" i="2"/>
  <c r="N35" i="2"/>
  <c r="S35" i="2"/>
  <c r="T35" i="2"/>
  <c r="L34" i="2"/>
  <c r="N34" i="2"/>
  <c r="S34" i="2"/>
  <c r="T34" i="2"/>
  <c r="L33" i="2"/>
  <c r="N33" i="2"/>
  <c r="T33" i="2"/>
  <c r="S33" i="2"/>
  <c r="L32" i="2"/>
  <c r="N32" i="2"/>
  <c r="S32" i="2"/>
  <c r="T32" i="2"/>
  <c r="N31" i="2"/>
  <c r="L31" i="2"/>
  <c r="S31" i="2"/>
  <c r="T31" i="2"/>
  <c r="N30" i="2"/>
  <c r="L30" i="2"/>
  <c r="S30" i="2"/>
  <c r="T30" i="2"/>
  <c r="L29" i="2"/>
  <c r="N29" i="2"/>
  <c r="T29" i="2"/>
  <c r="S29" i="2"/>
  <c r="N28" i="2"/>
  <c r="L28" i="2"/>
  <c r="T28" i="2"/>
  <c r="S28" i="2"/>
  <c r="L27" i="2"/>
  <c r="N27" i="2"/>
  <c r="S27" i="2"/>
  <c r="T27" i="2"/>
  <c r="H22" i="1"/>
  <c r="H23" i="1"/>
  <c r="B13" i="3"/>
  <c r="D13" i="3" s="1"/>
  <c r="E13" i="3"/>
  <c r="B15" i="3"/>
  <c r="D15" i="3" s="1"/>
  <c r="E15" i="3"/>
  <c r="B17" i="3"/>
  <c r="D17" i="3" s="1"/>
  <c r="I23" i="1"/>
  <c r="E22" i="1"/>
  <c r="G22" i="1" s="1"/>
  <c r="F17" i="3"/>
  <c r="B16" i="3"/>
  <c r="D16" i="3" s="1"/>
  <c r="H14" i="3"/>
  <c r="B12" i="3"/>
  <c r="B14" i="3"/>
  <c r="D14" i="3" s="1"/>
  <c r="E16" i="3"/>
  <c r="F14" i="3"/>
  <c r="F16" i="3"/>
  <c r="E17" i="3"/>
  <c r="G17" i="3" s="1"/>
  <c r="F13" i="3"/>
  <c r="H13" i="3"/>
  <c r="H15" i="3"/>
  <c r="E14" i="3"/>
  <c r="G14" i="3" s="1"/>
  <c r="I22" i="1"/>
  <c r="H16" i="3"/>
  <c r="I24" i="1"/>
  <c r="E21" i="1"/>
  <c r="G21" i="1" s="1"/>
  <c r="H21" i="1"/>
  <c r="E19" i="1"/>
  <c r="H17" i="3"/>
  <c r="F15" i="3"/>
  <c r="H24" i="1"/>
  <c r="I21" i="1"/>
  <c r="I20" i="1"/>
  <c r="H20" i="1"/>
  <c r="L26" i="2"/>
  <c r="N26" i="2"/>
  <c r="O26" i="2"/>
  <c r="T26" i="2"/>
  <c r="S26" i="2"/>
  <c r="U26" i="2"/>
  <c r="L25" i="2"/>
  <c r="N25" i="2"/>
  <c r="F19" i="1"/>
  <c r="C12" i="3"/>
  <c r="U25" i="2"/>
  <c r="T25" i="2"/>
  <c r="F12" i="3" s="1"/>
  <c r="S25" i="2"/>
  <c r="O25" i="2"/>
  <c r="L24" i="2"/>
  <c r="N24" i="2"/>
  <c r="U24" i="2"/>
  <c r="O24" i="2"/>
  <c r="T24" i="2"/>
  <c r="S24" i="2"/>
  <c r="L23" i="2"/>
  <c r="N23" i="2"/>
  <c r="T23" i="2"/>
  <c r="U23" i="2"/>
  <c r="O23" i="2"/>
  <c r="S23" i="2"/>
  <c r="L22" i="2"/>
  <c r="N22" i="2"/>
  <c r="E18" i="1"/>
  <c r="U22" i="2"/>
  <c r="T22" i="2"/>
  <c r="O22" i="2"/>
  <c r="S22" i="2"/>
  <c r="L21" i="2"/>
  <c r="N21" i="2"/>
  <c r="F18" i="1"/>
  <c r="U21" i="2"/>
  <c r="S21" i="2"/>
  <c r="T21" i="2"/>
  <c r="F11" i="3" s="1"/>
  <c r="O21" i="2"/>
  <c r="L20" i="2"/>
  <c r="N20" i="2"/>
  <c r="T20" i="2"/>
  <c r="O20" i="2"/>
  <c r="S20" i="2"/>
  <c r="U20" i="2"/>
  <c r="N19" i="2"/>
  <c r="L19" i="2"/>
  <c r="U19" i="2"/>
  <c r="T19" i="2"/>
  <c r="S19" i="2"/>
  <c r="N18" i="2"/>
  <c r="L18" i="2"/>
  <c r="F17" i="1"/>
  <c r="O18" i="2"/>
  <c r="T18" i="2"/>
  <c r="U18" i="2"/>
  <c r="S18" i="2"/>
  <c r="N17" i="2"/>
  <c r="E17" i="1"/>
  <c r="G17" i="1" s="1"/>
  <c r="L17" i="2"/>
  <c r="U17" i="2"/>
  <c r="S17" i="2"/>
  <c r="O17" i="2"/>
  <c r="I17" i="1" s="1"/>
  <c r="T17" i="2"/>
  <c r="L16" i="2"/>
  <c r="N16" i="2"/>
  <c r="T16" i="2"/>
  <c r="S16" i="2"/>
  <c r="U16" i="2"/>
  <c r="O16" i="2"/>
  <c r="F16" i="1"/>
  <c r="L15" i="2"/>
  <c r="N15" i="2"/>
  <c r="O15" i="2"/>
  <c r="I16" i="1" s="1"/>
  <c r="U15" i="2"/>
  <c r="T15" i="2"/>
  <c r="S15" i="2"/>
  <c r="L14" i="2"/>
  <c r="N14" i="2"/>
  <c r="E16" i="1"/>
  <c r="G16" i="1" s="1"/>
  <c r="T14" i="2"/>
  <c r="S14" i="2"/>
  <c r="H16" i="1" s="1"/>
  <c r="U14" i="2"/>
  <c r="L13" i="2"/>
  <c r="N13" i="2"/>
  <c r="L12" i="2"/>
  <c r="N12" i="2"/>
  <c r="O12" i="2"/>
  <c r="U12" i="2"/>
  <c r="T12" i="2"/>
  <c r="S12" i="2"/>
  <c r="N11" i="2"/>
  <c r="E15" i="1"/>
  <c r="L11" i="2"/>
  <c r="T11" i="2"/>
  <c r="O11" i="2"/>
  <c r="U11" i="2"/>
  <c r="S11" i="2"/>
  <c r="L10" i="2"/>
  <c r="N10" i="2"/>
  <c r="F15" i="1"/>
  <c r="O10" i="2"/>
  <c r="I15" i="1" s="1"/>
  <c r="U10" i="2"/>
  <c r="T10" i="2"/>
  <c r="S10" i="2"/>
  <c r="H15" i="1" s="1"/>
  <c r="L9" i="2"/>
  <c r="N9" i="2"/>
  <c r="U9" i="2"/>
  <c r="S9" i="2"/>
  <c r="T9" i="2"/>
  <c r="O9" i="2"/>
  <c r="N8" i="2"/>
  <c r="L8" i="2"/>
  <c r="S8" i="2"/>
  <c r="T8" i="2"/>
  <c r="O8" i="2"/>
  <c r="U8" i="2"/>
  <c r="E14" i="1"/>
  <c r="N7" i="2"/>
  <c r="L7" i="2"/>
  <c r="T7" i="2"/>
  <c r="S7" i="2"/>
  <c r="U7" i="2"/>
  <c r="O7" i="2"/>
  <c r="L6" i="2"/>
  <c r="N6" i="2"/>
  <c r="F14" i="1"/>
  <c r="T6" i="2"/>
  <c r="S6" i="2"/>
  <c r="H14" i="1" s="1"/>
  <c r="O6" i="2"/>
  <c r="I14" i="1" s="1"/>
  <c r="U6" i="2"/>
  <c r="N5" i="2"/>
  <c r="L5" i="2"/>
  <c r="T5" i="2"/>
  <c r="S5" i="2"/>
  <c r="U5" i="2"/>
  <c r="N4" i="2"/>
  <c r="L4" i="2"/>
  <c r="S4" i="2"/>
  <c r="U4" i="2"/>
  <c r="O4" i="2"/>
  <c r="T4" i="2"/>
  <c r="F13" i="1"/>
  <c r="F25" i="1" s="1"/>
  <c r="B13" i="1"/>
  <c r="L3" i="2"/>
  <c r="N3" i="2"/>
  <c r="O3" i="2"/>
  <c r="U3" i="2"/>
  <c r="T3" i="2"/>
  <c r="S3" i="2"/>
  <c r="L2" i="2"/>
  <c r="N2" i="2"/>
  <c r="B12" i="1"/>
  <c r="E13" i="1"/>
  <c r="T2" i="2"/>
  <c r="B16" i="1" s="1"/>
  <c r="S2" i="2"/>
  <c r="O2" i="2"/>
  <c r="U2" i="2"/>
  <c r="P6" i="3" l="1"/>
  <c r="P10" i="3" s="1"/>
  <c r="N10" i="3"/>
  <c r="M6" i="3"/>
  <c r="M10" i="3" s="1"/>
  <c r="K10" i="3"/>
  <c r="G6" i="3"/>
  <c r="D6" i="3"/>
  <c r="D18" i="3" s="1"/>
  <c r="B18" i="3"/>
  <c r="E12" i="3"/>
  <c r="G12" i="3" s="1"/>
  <c r="H19" i="1"/>
  <c r="I19" i="1"/>
  <c r="H12" i="3"/>
  <c r="H18" i="1"/>
  <c r="E11" i="3"/>
  <c r="H11" i="3"/>
  <c r="I18" i="1"/>
  <c r="G13" i="1"/>
  <c r="G25" i="1" s="1"/>
  <c r="E25" i="1"/>
  <c r="H13" i="1"/>
  <c r="H25" i="1" s="1"/>
  <c r="B15" i="1"/>
  <c r="B17" i="1" s="1"/>
  <c r="I13" i="1"/>
  <c r="B20" i="1"/>
  <c r="D36" i="3"/>
  <c r="D24" i="3"/>
  <c r="D32" i="3"/>
  <c r="D28" i="3"/>
  <c r="M8" i="3"/>
  <c r="G13" i="3"/>
  <c r="G19" i="1"/>
  <c r="D38" i="3"/>
  <c r="D33" i="3"/>
  <c r="D29" i="3"/>
  <c r="G15" i="3"/>
  <c r="G16" i="3"/>
  <c r="G14" i="1"/>
  <c r="D7" i="3"/>
  <c r="D12" i="3"/>
  <c r="G18" i="1"/>
  <c r="H17" i="1"/>
  <c r="G15" i="1"/>
  <c r="B14" i="1"/>
  <c r="D35" i="3"/>
  <c r="D25" i="3"/>
  <c r="D11" i="3"/>
  <c r="M9" i="3"/>
  <c r="E23" i="3" l="1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H18" i="3"/>
  <c r="I25" i="1"/>
  <c r="G11" i="3"/>
  <c r="G18" i="3" s="1"/>
  <c r="E18" i="3"/>
</calcChain>
</file>

<file path=xl/sharedStrings.xml><?xml version="1.0" encoding="utf-8"?>
<sst xmlns="http://schemas.openxmlformats.org/spreadsheetml/2006/main" count="374" uniqueCount="215">
  <si>
    <t>Buchhaltung für Freiberufler – Excel-Vorlage</t>
  </si>
  <si>
    <t>Einstellungen</t>
  </si>
  <si>
    <t>So benutzt du die Datei</t>
  </si>
  <si>
    <t>Steuerjahr</t>
  </si>
  <si>
    <t>für Auswertungen</t>
  </si>
  <si>
    <t>1</t>
  </si>
  <si>
    <t>In „Buchungen“ nur die gelben Felder ausfüllen.</t>
  </si>
  <si>
    <t>USt-pflichtig</t>
  </si>
  <si>
    <t>Ja</t>
  </si>
  <si>
    <t>Nein bei Kleinunternehmerregelung</t>
  </si>
  <si>
    <t>2</t>
  </si>
  <si>
    <t>Kategorie wählen: Typ, USt-Satz und Abziehbarkeit werden automatisch übernommen.</t>
  </si>
  <si>
    <t>USt-Voranmeldung</t>
  </si>
  <si>
    <t>Quartalsweise</t>
  </si>
  <si>
    <t>für die Lesart der USt-Auswertung</t>
  </si>
  <si>
    <t>3</t>
  </si>
  <si>
    <t>Status auf „Bezahlt“ setzen, sobald Geld geflossen ist.</t>
  </si>
  <si>
    <t>Anfangssaldo Bank</t>
  </si>
  <si>
    <t>Startbestand zum 01.01.</t>
  </si>
  <si>
    <t>4</t>
  </si>
  <si>
    <t>„Übersicht“ und „USt-Auswertung“ aktualisieren sich per Formel.</t>
  </si>
  <si>
    <t>Name / Projekt</t>
  </si>
  <si>
    <t>Mara Neumann – Kommunikationsdesign</t>
  </si>
  <si>
    <t>Hinweis</t>
  </si>
  <si>
    <t>Arbeitsdatei für laufende Kontrolle; keine Steuerberatung und kein GoBD-Ersatz.</t>
  </si>
  <si>
    <t>Steuernummer</t>
  </si>
  <si>
    <t>64/321/98765</t>
  </si>
  <si>
    <t>Kennzahlen für das gewählte Steuerjahr</t>
  </si>
  <si>
    <t>Einnahmen netto</t>
  </si>
  <si>
    <t>Monat</t>
  </si>
  <si>
    <t>Ausgaben netto</t>
  </si>
  <si>
    <t>Gewinn netto</t>
  </si>
  <si>
    <t>USt-Zahllast</t>
  </si>
  <si>
    <t>Cashflow</t>
  </si>
  <si>
    <t>Jan</t>
  </si>
  <si>
    <t>Feb</t>
  </si>
  <si>
    <t>Vereinnahmte USt</t>
  </si>
  <si>
    <t>Mär</t>
  </si>
  <si>
    <t>Abziehbare Vorsteuer</t>
  </si>
  <si>
    <t>Apr</t>
  </si>
  <si>
    <t>Mai</t>
  </si>
  <si>
    <t>Offene Forderungen brutto</t>
  </si>
  <si>
    <t>Jun</t>
  </si>
  <si>
    <t>Offene Verbindlichkeiten brutto</t>
  </si>
  <si>
    <t>Jul</t>
  </si>
  <si>
    <t>Rechnerischer Bankstand</t>
  </si>
  <si>
    <t>Aug</t>
  </si>
  <si>
    <t>Sep</t>
  </si>
  <si>
    <t>Okt</t>
  </si>
  <si>
    <t>Nov</t>
  </si>
  <si>
    <t>Dez</t>
  </si>
  <si>
    <t>Gesamt</t>
  </si>
  <si>
    <t>Datum</t>
  </si>
  <si>
    <t>Beleg-Nr.</t>
  </si>
  <si>
    <t>Typ (auto)</t>
  </si>
  <si>
    <t>Status</t>
  </si>
  <si>
    <t>Kontakt</t>
  </si>
  <si>
    <t>Beschreibung</t>
  </si>
  <si>
    <t>Kategorie</t>
  </si>
  <si>
    <t>Zahlungsart</t>
  </si>
  <si>
    <t>Betrag brutto</t>
  </si>
  <si>
    <t>USt-Satz</t>
  </si>
  <si>
    <t>Netto</t>
  </si>
  <si>
    <t>USt/Vorsteuer</t>
  </si>
  <si>
    <t>Abziehbar</t>
  </si>
  <si>
    <t>Ergebnis netto</t>
  </si>
  <si>
    <t>Zahlungsfluss brutto</t>
  </si>
  <si>
    <t>Quartal</t>
  </si>
  <si>
    <t>Jahr</t>
  </si>
  <si>
    <t>USt vereinnahmt</t>
  </si>
  <si>
    <t>Vorsteuer abziehbar</t>
  </si>
  <si>
    <t>EÜR-Gruppe (auto)</t>
  </si>
  <si>
    <t>E-2026-001</t>
  </si>
  <si>
    <t>Bezahlt</t>
  </si>
  <si>
    <t>Nordlicht Verlag GmbH</t>
  </si>
  <si>
    <t>Beratungsprojekt Januar</t>
  </si>
  <si>
    <t>Honorar Beratung</t>
  </si>
  <si>
    <t>Bank</t>
  </si>
  <si>
    <t>A-2026-001</t>
  </si>
  <si>
    <t>CloudWerk AG</t>
  </si>
  <si>
    <t>Projektmanagement-Software</t>
  </si>
  <si>
    <t>Software &amp; Tools</t>
  </si>
  <si>
    <t>Kreditkarte</t>
  </si>
  <si>
    <t>A-2026-002</t>
  </si>
  <si>
    <t>BüroPlus</t>
  </si>
  <si>
    <t>Notizbücher und Stifte</t>
  </si>
  <si>
    <t>Bürobedarf</t>
  </si>
  <si>
    <t>E-2026-002</t>
  </si>
  <si>
    <t>Offen</t>
  </si>
  <si>
    <t>Studio Elbe</t>
  </si>
  <si>
    <t>Logo-Konzept</t>
  </si>
  <si>
    <t>Honorar Design</t>
  </si>
  <si>
    <t>A-2026-003</t>
  </si>
  <si>
    <t>TeleNet</t>
  </si>
  <si>
    <t>Telefon &amp; Internet Februar</t>
  </si>
  <si>
    <t>Telefon &amp; Internet</t>
  </si>
  <si>
    <t>Lastschrift</t>
  </si>
  <si>
    <t>E-2026-003</t>
  </si>
  <si>
    <t>Linden Akademie</t>
  </si>
  <si>
    <t>Online-Workshop</t>
  </si>
  <si>
    <t>Workshop / Schulung</t>
  </si>
  <si>
    <t>A-2026-004</t>
  </si>
  <si>
    <t>DB Fernverkehr</t>
  </si>
  <si>
    <t>Bahnticket Kundentermin</t>
  </si>
  <si>
    <t>Reisekosten Bahn</t>
  </si>
  <si>
    <t>A-2026-005</t>
  </si>
  <si>
    <t>Restaurant Hafenblick</t>
  </si>
  <si>
    <t>Kundenbewirtung</t>
  </si>
  <si>
    <t>Bewirtung geschäftlich</t>
  </si>
  <si>
    <t>A-2026-006</t>
  </si>
  <si>
    <t>Coworking Kontor</t>
  </si>
  <si>
    <t>Arbeitsplatz März</t>
  </si>
  <si>
    <t>Miete Coworking</t>
  </si>
  <si>
    <t>E-2026-004</t>
  </si>
  <si>
    <t>Kulturforum Bremen</t>
  </si>
  <si>
    <t>Kommunikationsberatung</t>
  </si>
  <si>
    <t>A-2026-007</t>
  </si>
  <si>
    <t>Fachbuch Nord</t>
  </si>
  <si>
    <t>Fachliteratur UX</t>
  </si>
  <si>
    <t>Fachliteratur</t>
  </si>
  <si>
    <t>PayPal</t>
  </si>
  <si>
    <t>S-2026-001</t>
  </si>
  <si>
    <t>Finanzamt Oldenburg</t>
  </si>
  <si>
    <t>USt-Vorauszahlung Q1</t>
  </si>
  <si>
    <t>Umsatzsteuer-Vorauszahlung</t>
  </si>
  <si>
    <t>E-2026-005</t>
  </si>
  <si>
    <t>Moor &amp; Partner</t>
  </si>
  <si>
    <t>Landingpage-Konzept</t>
  </si>
  <si>
    <t>A-2026-008</t>
  </si>
  <si>
    <t>SecurePro</t>
  </si>
  <si>
    <t>Berufshaftpflicht April</t>
  </si>
  <si>
    <t>Versicherung beruflich</t>
  </si>
  <si>
    <t>A-2026-009</t>
  </si>
  <si>
    <t>Seminarhaus Mitte</t>
  </si>
  <si>
    <t>Fortbildung Textstrategie</t>
  </si>
  <si>
    <t>Fortbildung</t>
  </si>
  <si>
    <t>E-2026-006</t>
  </si>
  <si>
    <t>GreenLab e.V.</t>
  </si>
  <si>
    <t>Steuerfreier Zuschuss Projekt</t>
  </si>
  <si>
    <t>Steuerfreie Einnahme</t>
  </si>
  <si>
    <t>A-2026-010</t>
  </si>
  <si>
    <t>Notebook Welt</t>
  </si>
  <si>
    <t>Monitor für Büro</t>
  </si>
  <si>
    <t>Hardware bis GWG-Grenze</t>
  </si>
  <si>
    <t>E-2026-007</t>
  </si>
  <si>
    <t>Klartext GmbH</t>
  </si>
  <si>
    <t>Redaktionspaket Mai</t>
  </si>
  <si>
    <t>P-2026-001</t>
  </si>
  <si>
    <t>Inhaberin</t>
  </si>
  <si>
    <t>Privateinlage Startpuffer</t>
  </si>
  <si>
    <t>Privateinlage</t>
  </si>
  <si>
    <t>A-2026-011</t>
  </si>
  <si>
    <t>Steuerkanzlei Weber</t>
  </si>
  <si>
    <t>Buchhaltungsprüfung</t>
  </si>
  <si>
    <t>Steuerberatung</t>
  </si>
  <si>
    <t>E-2026-008</t>
  </si>
  <si>
    <t>Hanse Media</t>
  </si>
  <si>
    <t>Produktbeschreibung Paket</t>
  </si>
  <si>
    <t>Digitale Produkte</t>
  </si>
  <si>
    <t>A-2026-012</t>
  </si>
  <si>
    <t>Hotel Speicherstadt</t>
  </si>
  <si>
    <t>Übernachtung Workshop</t>
  </si>
  <si>
    <t>Hotel Geschäftsreise</t>
  </si>
  <si>
    <t>S-2026-002</t>
  </si>
  <si>
    <t>ESt-Vorauszahlung privat</t>
  </si>
  <si>
    <t>Einkommensteuer-Vorauszahlung</t>
  </si>
  <si>
    <t>A-2026-013</t>
  </si>
  <si>
    <t>Bank Nord</t>
  </si>
  <si>
    <t>Kontoführungsgebühren</t>
  </si>
  <si>
    <t>Bankgebühren</t>
  </si>
  <si>
    <t>E-2026-009</t>
  </si>
  <si>
    <t>Beratung Juli</t>
  </si>
  <si>
    <t>USt-Auswertung und EÜR-Zusammenfassung</t>
  </si>
  <si>
    <t>Vorsteuer</t>
  </si>
  <si>
    <t>Januar</t>
  </si>
  <si>
    <t>Q1</t>
  </si>
  <si>
    <t>Februar</t>
  </si>
  <si>
    <t>Q2</t>
  </si>
  <si>
    <t>März</t>
  </si>
  <si>
    <t>Q3</t>
  </si>
  <si>
    <t>April</t>
  </si>
  <si>
    <t>Q4</t>
  </si>
  <si>
    <t>Juni</t>
  </si>
  <si>
    <t>Juli</t>
  </si>
  <si>
    <t>August</t>
  </si>
  <si>
    <t>September</t>
  </si>
  <si>
    <t>Oktober</t>
  </si>
  <si>
    <t>November</t>
  </si>
  <si>
    <t>Dezember</t>
  </si>
  <si>
    <t>EÜR-Gruppe</t>
  </si>
  <si>
    <t>Saldo netto</t>
  </si>
  <si>
    <t>Anteil</t>
  </si>
  <si>
    <t>Betriebseinnahmen</t>
  </si>
  <si>
    <t>Betriebseinnahmen steuerfrei</t>
  </si>
  <si>
    <t>Software / Lizenzen</t>
  </si>
  <si>
    <t>Kommunikation</t>
  </si>
  <si>
    <t>Raumkosten</t>
  </si>
  <si>
    <t>Reisekosten</t>
  </si>
  <si>
    <t>Bewirtung 70%</t>
  </si>
  <si>
    <t>Gebühren</t>
  </si>
  <si>
    <t>Versicherungen</t>
  </si>
  <si>
    <t>Arbeitsmittel</t>
  </si>
  <si>
    <t>Steuerzahlungen</t>
  </si>
  <si>
    <t>Privat / nicht EÜR</t>
  </si>
  <si>
    <t>Typ</t>
  </si>
  <si>
    <t>Standard-USt</t>
  </si>
  <si>
    <t>Typen</t>
  </si>
  <si>
    <t>Voranmeldung</t>
  </si>
  <si>
    <t>Einnahme</t>
  </si>
  <si>
    <t>Monatlich</t>
  </si>
  <si>
    <t>Ausgabe</t>
  </si>
  <si>
    <t>Steuerzahlung</t>
  </si>
  <si>
    <t>Jährlich</t>
  </si>
  <si>
    <t>Bar</t>
  </si>
  <si>
    <t>Privatentnahme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</si>
</sst>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#,##0.00\ \€;[Red]\-#,##0.00\ \€"/>
    <numFmt numFmtId="166" formatCode="0.0%"/>
  </numFmts>
  <fonts count="9" x14ac:knownFonts="1">
    <font>
      <sz val="11"/>
      <name val="Carlito"/>
    </font>
    <font>
      <b/>
      <sz val="11"/>
      <color rgb="FFFFFFFF"/>
      <name val="Carlito"/>
    </font>
    <font>
      <b/>
      <sz val="16"/>
      <color rgb="FFFFFFFF"/>
      <name val="Carlito"/>
    </font>
    <font>
      <b/>
      <sz val="11"/>
      <name val="Carlito"/>
    </font>
    <font>
      <sz val="11"/>
      <name val="Carlito"/>
    </font>
    <font>
      <b/>
      <sz val="20"/>
      <color rgb="FFFFFFFF"/>
      <name val="Carlito"/>
      <family val="2"/>
    </font>
    <font>
      <sz val="20"/>
      <name val="Carlito"/>
      <family val="2"/>
    </font>
    <font>
      <b/>
      <sz val="12"/>
      <color rgb="FFFFFFFF"/>
      <name val="Carlito"/>
      <family val="2"/>
    </font>
    <font>
      <sz val="12"/>
      <name val="Carlito"/>
      <family val="2"/>
    </font>
  </fonts>
  <fills count="11">
    <fill>
      <patternFill patternType="none"/>
    </fill>
    <fill>
      <patternFill patternType="gray125"/>
    </fill>
    <fill>
      <patternFill patternType="solid">
        <fgColor rgb="FF1F4E5F"/>
      </patternFill>
    </fill>
    <fill>
      <patternFill patternType="solid">
        <fgColor rgb="FFFFF2CC"/>
      </patternFill>
    </fill>
    <fill>
      <patternFill patternType="solid">
        <fgColor rgb="FFDDEBF7"/>
      </patternFill>
    </fill>
    <fill>
      <patternFill patternType="solid">
        <fgColor rgb="FFF3F4F6"/>
      </patternFill>
    </fill>
    <fill>
      <patternFill patternType="solid">
        <fgColor rgb="FF2F75B5"/>
      </patternFill>
    </fill>
    <fill>
      <patternFill patternType="solid">
        <fgColor rgb="FFE2F0D9"/>
      </patternFill>
    </fill>
    <fill>
      <patternFill patternType="solid">
        <fgColor rgb="FFFCE4D6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0" fontId="4" fillId="0" borderId="0"/>
  </cellStyleXfs>
  <cellXfs count="89">
    <xf numFmtId="0" fontId="0" fillId="0" borderId="0" xfId="0"/>
    <xf numFmtId="0" fontId="1" fillId="2" borderId="0" xfId="1" applyFont="1" applyFill="1" applyAlignment="1">
      <alignment horizontal="center"/>
    </xf>
    <xf numFmtId="0" fontId="0" fillId="0" borderId="1" xfId="1" applyFont="1" applyBorder="1"/>
    <xf numFmtId="0" fontId="0" fillId="0" borderId="2" xfId="1" applyFont="1" applyBorder="1"/>
    <xf numFmtId="0" fontId="0" fillId="0" borderId="3" xfId="1" applyFont="1" applyBorder="1"/>
    <xf numFmtId="0" fontId="0" fillId="0" borderId="4" xfId="1" applyFont="1" applyBorder="1"/>
    <xf numFmtId="0" fontId="0" fillId="0" borderId="5" xfId="1" applyFont="1" applyBorder="1"/>
    <xf numFmtId="0" fontId="0" fillId="0" borderId="6" xfId="1" applyFont="1" applyBorder="1"/>
    <xf numFmtId="0" fontId="0" fillId="0" borderId="7" xfId="1" applyFont="1" applyBorder="1"/>
    <xf numFmtId="0" fontId="0" fillId="0" borderId="8" xfId="1" applyFont="1" applyBorder="1"/>
    <xf numFmtId="0" fontId="0" fillId="0" borderId="9" xfId="1" applyFont="1" applyBorder="1"/>
    <xf numFmtId="9" fontId="0" fillId="0" borderId="2" xfId="1" applyNumberFormat="1" applyFont="1" applyBorder="1"/>
    <xf numFmtId="9" fontId="0" fillId="0" borderId="5" xfId="1" applyNumberFormat="1" applyFont="1" applyBorder="1"/>
    <xf numFmtId="9" fontId="0" fillId="0" borderId="8" xfId="1" applyNumberFormat="1" applyFont="1" applyBorder="1"/>
    <xf numFmtId="0" fontId="1" fillId="2" borderId="0" xfId="1" applyFont="1" applyFill="1" applyAlignment="1">
      <alignment horizontal="center" vertical="center" wrapText="1"/>
    </xf>
    <xf numFmtId="165" fontId="0" fillId="0" borderId="0" xfId="1" applyNumberFormat="1" applyFont="1"/>
    <xf numFmtId="165" fontId="0" fillId="0" borderId="11" xfId="1" applyNumberFormat="1" applyFont="1" applyBorder="1"/>
    <xf numFmtId="165" fontId="0" fillId="0" borderId="14" xfId="1" applyNumberFormat="1" applyFont="1" applyBorder="1"/>
    <xf numFmtId="165" fontId="0" fillId="0" borderId="17" xfId="1" applyNumberFormat="1" applyFont="1" applyBorder="1"/>
    <xf numFmtId="164" fontId="0" fillId="3" borderId="10" xfId="1" applyNumberFormat="1" applyFont="1" applyFill="1" applyBorder="1" applyAlignment="1">
      <alignment vertical="center"/>
    </xf>
    <xf numFmtId="0" fontId="0" fillId="3" borderId="11" xfId="1" applyFont="1" applyFill="1" applyBorder="1" applyAlignment="1">
      <alignment vertical="center"/>
    </xf>
    <xf numFmtId="164" fontId="0" fillId="3" borderId="13" xfId="1" applyNumberFormat="1" applyFont="1" applyFill="1" applyBorder="1" applyAlignment="1">
      <alignment vertical="center"/>
    </xf>
    <xf numFmtId="0" fontId="0" fillId="3" borderId="14" xfId="1" applyFont="1" applyFill="1" applyBorder="1" applyAlignment="1">
      <alignment vertical="center"/>
    </xf>
    <xf numFmtId="164" fontId="0" fillId="3" borderId="16" xfId="1" applyNumberFormat="1" applyFont="1" applyFill="1" applyBorder="1" applyAlignment="1">
      <alignment vertical="center"/>
    </xf>
    <xf numFmtId="0" fontId="0" fillId="3" borderId="17" xfId="1" applyFont="1" applyFill="1" applyBorder="1" applyAlignment="1">
      <alignment vertical="center"/>
    </xf>
    <xf numFmtId="165" fontId="0" fillId="3" borderId="11" xfId="1" applyNumberFormat="1" applyFont="1" applyFill="1" applyBorder="1" applyAlignment="1">
      <alignment vertical="center"/>
    </xf>
    <xf numFmtId="165" fontId="0" fillId="3" borderId="14" xfId="1" applyNumberFormat="1" applyFont="1" applyFill="1" applyBorder="1" applyAlignment="1">
      <alignment vertical="center"/>
    </xf>
    <xf numFmtId="165" fontId="0" fillId="3" borderId="17" xfId="1" applyNumberFormat="1" applyFont="1" applyFill="1" applyBorder="1" applyAlignment="1">
      <alignment vertical="center"/>
    </xf>
    <xf numFmtId="0" fontId="0" fillId="4" borderId="11" xfId="1" applyFont="1" applyFill="1" applyBorder="1" applyAlignment="1">
      <alignment vertical="center"/>
    </xf>
    <xf numFmtId="0" fontId="0" fillId="4" borderId="14" xfId="1" applyFont="1" applyFill="1" applyBorder="1" applyAlignment="1">
      <alignment vertical="center"/>
    </xf>
    <xf numFmtId="0" fontId="0" fillId="4" borderId="17" xfId="1" applyFont="1" applyFill="1" applyBorder="1" applyAlignment="1">
      <alignment vertical="center"/>
    </xf>
    <xf numFmtId="9" fontId="0" fillId="4" borderId="11" xfId="1" applyNumberFormat="1" applyFont="1" applyFill="1" applyBorder="1" applyAlignment="1">
      <alignment vertical="center"/>
    </xf>
    <xf numFmtId="165" fontId="0" fillId="4" borderId="11" xfId="1" applyNumberFormat="1" applyFont="1" applyFill="1" applyBorder="1" applyAlignment="1">
      <alignment vertical="center"/>
    </xf>
    <xf numFmtId="9" fontId="0" fillId="4" borderId="14" xfId="1" applyNumberFormat="1" applyFont="1" applyFill="1" applyBorder="1" applyAlignment="1">
      <alignment vertical="center"/>
    </xf>
    <xf numFmtId="165" fontId="0" fillId="4" borderId="14" xfId="1" applyNumberFormat="1" applyFont="1" applyFill="1" applyBorder="1" applyAlignment="1">
      <alignment vertical="center"/>
    </xf>
    <xf numFmtId="9" fontId="0" fillId="4" borderId="17" xfId="1" applyNumberFormat="1" applyFont="1" applyFill="1" applyBorder="1" applyAlignment="1">
      <alignment vertical="center"/>
    </xf>
    <xf numFmtId="165" fontId="0" fillId="4" borderId="17" xfId="1" applyNumberFormat="1" applyFont="1" applyFill="1" applyBorder="1" applyAlignment="1">
      <alignment vertical="center"/>
    </xf>
    <xf numFmtId="0" fontId="0" fillId="4" borderId="12" xfId="1" applyFont="1" applyFill="1" applyBorder="1" applyAlignment="1">
      <alignment vertical="center" wrapText="1"/>
    </xf>
    <xf numFmtId="0" fontId="0" fillId="4" borderId="15" xfId="1" applyFont="1" applyFill="1" applyBorder="1" applyAlignment="1">
      <alignment vertical="center" wrapText="1"/>
    </xf>
    <xf numFmtId="0" fontId="0" fillId="4" borderId="18" xfId="1" applyFont="1" applyFill="1" applyBorder="1" applyAlignment="1">
      <alignment vertical="center" wrapText="1"/>
    </xf>
    <xf numFmtId="0" fontId="3" fillId="5" borderId="0" xfId="1" applyFont="1" applyFill="1"/>
    <xf numFmtId="0" fontId="0" fillId="0" borderId="10" xfId="1" applyFont="1" applyBorder="1"/>
    <xf numFmtId="0" fontId="0" fillId="0" borderId="13" xfId="1" applyFont="1" applyBorder="1"/>
    <xf numFmtId="0" fontId="0" fillId="0" borderId="16" xfId="1" applyFont="1" applyBorder="1"/>
    <xf numFmtId="165" fontId="3" fillId="5" borderId="0" xfId="1" applyNumberFormat="1" applyFont="1" applyFill="1"/>
    <xf numFmtId="166" fontId="0" fillId="0" borderId="12" xfId="1" applyNumberFormat="1" applyFont="1" applyBorder="1"/>
    <xf numFmtId="166" fontId="0" fillId="0" borderId="15" xfId="1" applyNumberFormat="1" applyFont="1" applyBorder="1"/>
    <xf numFmtId="166" fontId="0" fillId="0" borderId="18" xfId="1" applyNumberFormat="1" applyFont="1" applyBorder="1"/>
    <xf numFmtId="0" fontId="0" fillId="4" borderId="19" xfId="1" applyFont="1" applyFill="1" applyBorder="1"/>
    <xf numFmtId="0" fontId="0" fillId="4" borderId="20" xfId="1" applyFont="1" applyFill="1" applyBorder="1"/>
    <xf numFmtId="0" fontId="0" fillId="4" borderId="21" xfId="1" applyFont="1" applyFill="1" applyBorder="1"/>
    <xf numFmtId="0" fontId="0" fillId="0" borderId="0" xfId="0"/>
    <xf numFmtId="0" fontId="2" fillId="2" borderId="0" xfId="1" applyFont="1" applyFill="1" applyAlignment="1">
      <alignment horizontal="center"/>
    </xf>
    <xf numFmtId="0" fontId="0" fillId="9" borderId="0" xfId="0" applyFill="1"/>
    <xf numFmtId="0" fontId="1" fillId="6" borderId="24" xfId="1" applyFont="1" applyFill="1" applyBorder="1" applyAlignment="1">
      <alignment horizontal="center"/>
    </xf>
    <xf numFmtId="0" fontId="0" fillId="0" borderId="25" xfId="0" applyBorder="1"/>
    <xf numFmtId="0" fontId="0" fillId="0" borderId="26" xfId="0" applyBorder="1"/>
    <xf numFmtId="0" fontId="3" fillId="5" borderId="27" xfId="1" applyFont="1" applyFill="1" applyBorder="1"/>
    <xf numFmtId="0" fontId="0" fillId="3" borderId="22" xfId="1" applyFont="1" applyFill="1" applyBorder="1"/>
    <xf numFmtId="0" fontId="0" fillId="0" borderId="28" xfId="1" applyFont="1" applyBorder="1"/>
    <xf numFmtId="165" fontId="0" fillId="3" borderId="22" xfId="1" applyNumberFormat="1" applyFont="1" applyFill="1" applyBorder="1"/>
    <xf numFmtId="0" fontId="3" fillId="5" borderId="29" xfId="1" applyFont="1" applyFill="1" applyBorder="1"/>
    <xf numFmtId="0" fontId="0" fillId="3" borderId="23" xfId="1" applyFont="1" applyFill="1" applyBorder="1"/>
    <xf numFmtId="0" fontId="0" fillId="0" borderId="30" xfId="1" applyFont="1" applyBorder="1"/>
    <xf numFmtId="0" fontId="3" fillId="5" borderId="27" xfId="1" applyFont="1" applyFill="1" applyBorder="1" applyAlignment="1">
      <alignment horizontal="center" vertical="center"/>
    </xf>
    <xf numFmtId="0" fontId="0" fillId="0" borderId="22" xfId="1" applyFont="1" applyBorder="1" applyAlignment="1">
      <alignment vertical="center" wrapText="1"/>
    </xf>
    <xf numFmtId="0" fontId="0" fillId="0" borderId="28" xfId="1" applyFont="1" applyBorder="1" applyAlignment="1">
      <alignment vertical="center" wrapText="1"/>
    </xf>
    <xf numFmtId="0" fontId="3" fillId="10" borderId="31" xfId="1" applyFont="1" applyFill="1" applyBorder="1" applyAlignment="1">
      <alignment horizontal="center" vertical="center"/>
    </xf>
    <xf numFmtId="0" fontId="0" fillId="10" borderId="32" xfId="1" applyFont="1" applyFill="1" applyBorder="1" applyAlignment="1">
      <alignment vertical="center" wrapText="1"/>
    </xf>
    <xf numFmtId="0" fontId="0" fillId="10" borderId="33" xfId="1" applyFont="1" applyFill="1" applyBorder="1" applyAlignment="1">
      <alignment vertical="center" wrapText="1"/>
    </xf>
    <xf numFmtId="0" fontId="5" fillId="2" borderId="0" xfId="1" applyFont="1" applyFill="1" applyAlignment="1">
      <alignment horizontal="center"/>
    </xf>
    <xf numFmtId="0" fontId="6" fillId="0" borderId="0" xfId="0" applyFont="1"/>
    <xf numFmtId="0" fontId="1" fillId="2" borderId="24" xfId="1" applyFont="1" applyFill="1" applyBorder="1" applyAlignment="1">
      <alignment horizontal="center"/>
    </xf>
    <xf numFmtId="0" fontId="1" fillId="2" borderId="25" xfId="1" applyFont="1" applyFill="1" applyBorder="1" applyAlignment="1">
      <alignment horizontal="center"/>
    </xf>
    <xf numFmtId="0" fontId="1" fillId="2" borderId="26" xfId="1" applyFont="1" applyFill="1" applyBorder="1" applyAlignment="1">
      <alignment horizontal="center"/>
    </xf>
    <xf numFmtId="0" fontId="0" fillId="0" borderId="27" xfId="1" applyFont="1" applyBorder="1"/>
    <xf numFmtId="165" fontId="0" fillId="0" borderId="22" xfId="1" applyNumberFormat="1" applyFont="1" applyBorder="1"/>
    <xf numFmtId="165" fontId="0" fillId="0" borderId="28" xfId="1" applyNumberFormat="1" applyFont="1" applyBorder="1"/>
    <xf numFmtId="165" fontId="3" fillId="5" borderId="29" xfId="1" applyNumberFormat="1" applyFont="1" applyFill="1" applyBorder="1"/>
    <xf numFmtId="165" fontId="3" fillId="5" borderId="23" xfId="1" applyNumberFormat="1" applyFont="1" applyFill="1" applyBorder="1"/>
    <xf numFmtId="165" fontId="3" fillId="5" borderId="30" xfId="1" applyNumberFormat="1" applyFont="1" applyFill="1" applyBorder="1"/>
    <xf numFmtId="0" fontId="3" fillId="5" borderId="24" xfId="1" applyFont="1" applyFill="1" applyBorder="1"/>
    <xf numFmtId="165" fontId="3" fillId="4" borderId="26" xfId="1" applyNumberFormat="1" applyFont="1" applyFill="1" applyBorder="1"/>
    <xf numFmtId="165" fontId="3" fillId="4" borderId="28" xfId="1" applyNumberFormat="1" applyFont="1" applyFill="1" applyBorder="1"/>
    <xf numFmtId="165" fontId="3" fillId="7" borderId="28" xfId="1" applyNumberFormat="1" applyFont="1" applyFill="1" applyBorder="1"/>
    <xf numFmtId="165" fontId="3" fillId="8" borderId="28" xfId="1" applyNumberFormat="1" applyFont="1" applyFill="1" applyBorder="1"/>
    <xf numFmtId="165" fontId="3" fillId="4" borderId="30" xfId="1" applyNumberFormat="1" applyFont="1" applyFill="1" applyBorder="1"/>
    <xf numFmtId="0" fontId="7" fillId="2" borderId="0" xfId="1" applyFont="1" applyFill="1" applyAlignment="1">
      <alignment horizontal="center"/>
    </xf>
    <xf numFmtId="0" fontId="8" fillId="0" borderId="0" xfId="0" applyFont="1"/>
  </cellXfs>
  <cellStyles count="2">
    <cellStyle name="Normal" xfId="1" xr:uid="{00000000-0005-0000-0000-000000000000}"/>
    <cellStyle name="Standard" xfId="0" builtinId="0"/>
  </cellStyles>
  <dxfs count="3">
    <dxf>
      <font>
        <b/>
        <color rgb="FF9C0006"/>
      </font>
      <fill>
        <patternFill patternType="solid">
          <bgColor rgb="FFFCE4D6"/>
        </patternFill>
      </fill>
    </dxf>
    <dxf>
      <font>
        <color rgb="FFC00000"/>
      </font>
      <fill>
        <patternFill patternType="solid">
          <bgColor rgb="FFFCE4D6"/>
        </patternFill>
      </fill>
    </dxf>
    <dxf>
      <font>
        <b/>
      </font>
      <fill>
        <patternFill patternType="solid">
          <bgColor rgb="FFFFF2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Gewinn netto</c:v>
          </c:tx>
          <c:invertIfNegative val="1"/>
          <c:cat>
            <c:strRef>
              <c:f>Übersicht!$D$13:$D$24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Übersicht!$G$13:$G$24</c:f>
              <c:numCache>
                <c:formatCode>General</c:formatCode>
                <c:ptCount val="12"/>
                <c:pt idx="0">
                  <c:v>2915</c:v>
                </c:pt>
                <c:pt idx="1">
                  <c:v>573.98</c:v>
                </c:pt>
                <c:pt idx="2">
                  <c:v>1710</c:v>
                </c:pt>
                <c:pt idx="3">
                  <c:v>2112</c:v>
                </c:pt>
                <c:pt idx="4">
                  <c:v>390.76</c:v>
                </c:pt>
                <c:pt idx="5">
                  <c:v>210</c:v>
                </c:pt>
                <c:pt idx="6">
                  <c:v>3490.1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21-41E5-A871-1989711E7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  <c:spPr>
        <a:solidFill>
          <a:srgbClr val="FFFFCC"/>
        </a:solidFill>
      </c:spPr>
    </c:plotArea>
    <c:legend>
      <c:legendPos val="b"/>
      <c:overlay val="0"/>
    </c:legend>
    <c:plotVisOnly val="1"/>
    <c:dispBlanksAs val="zero"/>
    <c:showDLblsOverMax val="1"/>
  </c:chart>
  <c:spPr>
    <a:solidFill>
      <a:srgbClr val="FFFFCC"/>
    </a:solidFill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USt-Zahllast</c:v>
          </c:tx>
          <c:invertIfNegative val="1"/>
          <c:cat>
            <c:strRef>
              <c:f>'USt-Auswertung'!$J$6:$J$9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'USt-Auswertung'!$P$6:$P$9</c:f>
              <c:numCache>
                <c:formatCode>General</c:formatCode>
                <c:ptCount val="4"/>
                <c:pt idx="0">
                  <c:v>1008.39</c:v>
                </c:pt>
                <c:pt idx="1">
                  <c:v>423.03999999999996</c:v>
                </c:pt>
                <c:pt idx="2">
                  <c:v>665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AE-4C51-82EF-F4A00534D3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0</xdr:rowOff>
    </xdr:from>
    <xdr:to>
      <xdr:col>9</xdr:col>
      <xdr:colOff>0</xdr:colOff>
      <xdr:row>45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12</xdr:row>
      <xdr:rowOff>0</xdr:rowOff>
    </xdr:from>
    <xdr:to>
      <xdr:col>16</xdr:col>
      <xdr:colOff>0</xdr:colOff>
      <xdr:row>30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blBuchungen" displayName="tblBuchungen" ref="A1:U151">
  <tableColumns count="21">
    <tableColumn id="1" xr3:uid="{00000000-0010-0000-0000-000001000000}" name="Datum"/>
    <tableColumn id="2" xr3:uid="{00000000-0010-0000-0000-000002000000}" name="Beleg-Nr."/>
    <tableColumn id="3" xr3:uid="{00000000-0010-0000-0000-000003000000}" name="Typ (auto)"/>
    <tableColumn id="4" xr3:uid="{00000000-0010-0000-0000-000004000000}" name="Status"/>
    <tableColumn id="5" xr3:uid="{00000000-0010-0000-0000-000005000000}" name="Kontakt"/>
    <tableColumn id="6" xr3:uid="{00000000-0010-0000-0000-000006000000}" name="Beschreibung"/>
    <tableColumn id="7" xr3:uid="{00000000-0010-0000-0000-000007000000}" name="Kategorie"/>
    <tableColumn id="8" xr3:uid="{00000000-0010-0000-0000-000008000000}" name="Zahlungsart"/>
    <tableColumn id="9" xr3:uid="{00000000-0010-0000-0000-000009000000}" name="Betrag brutto"/>
    <tableColumn id="10" xr3:uid="{00000000-0010-0000-0000-00000A000000}" name="USt-Satz"/>
    <tableColumn id="11" xr3:uid="{00000000-0010-0000-0000-00000B000000}" name="Netto"/>
    <tableColumn id="12" xr3:uid="{00000000-0010-0000-0000-00000C000000}" name="USt/Vorsteuer"/>
    <tableColumn id="13" xr3:uid="{00000000-0010-0000-0000-00000D000000}" name="Abziehbar"/>
    <tableColumn id="14" xr3:uid="{00000000-0010-0000-0000-00000E000000}" name="Ergebnis netto"/>
    <tableColumn id="15" xr3:uid="{00000000-0010-0000-0000-00000F000000}" name="Zahlungsfluss brutto"/>
    <tableColumn id="16" xr3:uid="{00000000-0010-0000-0000-000010000000}" name="Monat"/>
    <tableColumn id="17" xr3:uid="{00000000-0010-0000-0000-000011000000}" name="Quartal"/>
    <tableColumn id="18" xr3:uid="{00000000-0010-0000-0000-000012000000}" name="Jahr"/>
    <tableColumn id="19" xr3:uid="{00000000-0010-0000-0000-000013000000}" name="USt vereinnahmt"/>
    <tableColumn id="20" xr3:uid="{00000000-0010-0000-0000-000014000000}" name="Vorsteuer abziehbar"/>
    <tableColumn id="21" xr3:uid="{00000000-0010-0000-0000-000015000000}" name="Hinwei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blKategorien" displayName="tblKategorien" ref="A1:E23">
  <tableColumns count="5">
    <tableColumn id="1" xr3:uid="{00000000-0010-0000-0100-000001000000}" name="Kategorie"/>
    <tableColumn id="2" xr3:uid="{00000000-0010-0000-0100-000002000000}" name="Typ"/>
    <tableColumn id="3" xr3:uid="{00000000-0010-0000-0100-000003000000}" name="Standard-USt"/>
    <tableColumn id="4" xr3:uid="{00000000-0010-0000-0100-000004000000}" name="Abziehbar"/>
    <tableColumn id="5" xr3:uid="{00000000-0010-0000-0100-000005000000}" name="EÜR-Grupp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2"/>
  <sheetViews>
    <sheetView tabSelected="1" workbookViewId="0">
      <selection activeCell="O2" sqref="O2"/>
    </sheetView>
  </sheetViews>
  <sheetFormatPr baseColWidth="10" defaultColWidth="9" defaultRowHeight="15" x14ac:dyDescent="0.25"/>
  <cols>
    <col min="1" max="1" width="28" customWidth="1"/>
    <col min="2" max="2" width="32" customWidth="1"/>
    <col min="3" max="3" width="30" customWidth="1"/>
    <col min="4" max="4" width="11" customWidth="1"/>
    <col min="5" max="9" width="16" customWidth="1"/>
    <col min="10" max="15" width="9" style="53"/>
  </cols>
  <sheetData>
    <row r="1" spans="1:9" ht="26.25" x14ac:dyDescent="0.4">
      <c r="A1" s="70" t="s">
        <v>0</v>
      </c>
      <c r="B1" s="71"/>
      <c r="C1" s="71"/>
      <c r="D1" s="71"/>
      <c r="E1" s="71"/>
      <c r="F1" s="71"/>
      <c r="G1" s="71"/>
      <c r="H1" s="71"/>
      <c r="I1" s="71"/>
    </row>
    <row r="2" spans="1:9" s="53" customFormat="1" x14ac:dyDescent="0.25"/>
    <row r="3" spans="1:9" x14ac:dyDescent="0.25">
      <c r="A3" s="54" t="s">
        <v>1</v>
      </c>
      <c r="B3" s="55"/>
      <c r="C3" s="56"/>
      <c r="D3" s="53"/>
      <c r="E3" s="54" t="s">
        <v>2</v>
      </c>
      <c r="F3" s="55"/>
      <c r="G3" s="55"/>
      <c r="H3" s="55"/>
      <c r="I3" s="56"/>
    </row>
    <row r="4" spans="1:9" x14ac:dyDescent="0.25">
      <c r="A4" s="57" t="s">
        <v>3</v>
      </c>
      <c r="B4" s="58">
        <v>2026</v>
      </c>
      <c r="C4" s="59" t="s">
        <v>4</v>
      </c>
      <c r="D4" s="53"/>
      <c r="E4" s="64" t="s">
        <v>5</v>
      </c>
      <c r="F4" s="65" t="s">
        <v>6</v>
      </c>
      <c r="G4" s="65"/>
      <c r="H4" s="65"/>
      <c r="I4" s="66"/>
    </row>
    <row r="5" spans="1:9" x14ac:dyDescent="0.25">
      <c r="A5" s="57" t="s">
        <v>7</v>
      </c>
      <c r="B5" s="58" t="s">
        <v>8</v>
      </c>
      <c r="C5" s="59" t="s">
        <v>9</v>
      </c>
      <c r="D5" s="53"/>
      <c r="E5" s="64" t="s">
        <v>10</v>
      </c>
      <c r="F5" s="65" t="s">
        <v>11</v>
      </c>
      <c r="G5" s="65"/>
      <c r="H5" s="65"/>
      <c r="I5" s="66"/>
    </row>
    <row r="6" spans="1:9" x14ac:dyDescent="0.25">
      <c r="A6" s="57" t="s">
        <v>12</v>
      </c>
      <c r="B6" s="58" t="s">
        <v>13</v>
      </c>
      <c r="C6" s="59" t="s">
        <v>14</v>
      </c>
      <c r="D6" s="53"/>
      <c r="E6" s="64" t="s">
        <v>15</v>
      </c>
      <c r="F6" s="65" t="s">
        <v>16</v>
      </c>
      <c r="G6" s="65"/>
      <c r="H6" s="65"/>
      <c r="I6" s="66"/>
    </row>
    <row r="7" spans="1:9" x14ac:dyDescent="0.25">
      <c r="A7" s="57" t="s">
        <v>17</v>
      </c>
      <c r="B7" s="60">
        <v>2450</v>
      </c>
      <c r="C7" s="59" t="s">
        <v>18</v>
      </c>
      <c r="D7" s="53"/>
      <c r="E7" s="64" t="s">
        <v>19</v>
      </c>
      <c r="F7" s="65" t="s">
        <v>20</v>
      </c>
      <c r="G7" s="65"/>
      <c r="H7" s="65"/>
      <c r="I7" s="66"/>
    </row>
    <row r="8" spans="1:9" x14ac:dyDescent="0.25">
      <c r="A8" s="57" t="s">
        <v>21</v>
      </c>
      <c r="B8" s="58" t="s">
        <v>22</v>
      </c>
      <c r="C8" s="59"/>
      <c r="D8" s="53"/>
      <c r="E8" s="67" t="s">
        <v>23</v>
      </c>
      <c r="F8" s="68" t="s">
        <v>24</v>
      </c>
      <c r="G8" s="68"/>
      <c r="H8" s="68"/>
      <c r="I8" s="69"/>
    </row>
    <row r="9" spans="1:9" x14ac:dyDescent="0.25">
      <c r="A9" s="61" t="s">
        <v>25</v>
      </c>
      <c r="B9" s="62" t="s">
        <v>26</v>
      </c>
      <c r="C9" s="63"/>
      <c r="D9" s="53"/>
      <c r="E9" s="53"/>
      <c r="F9" s="53"/>
      <c r="G9" s="53"/>
      <c r="H9" s="53"/>
      <c r="I9" s="53"/>
    </row>
    <row r="10" spans="1:9" s="53" customFormat="1" x14ac:dyDescent="0.25"/>
    <row r="11" spans="1:9" ht="15.75" x14ac:dyDescent="0.25">
      <c r="A11" s="87" t="s">
        <v>27</v>
      </c>
      <c r="B11" s="88"/>
      <c r="C11" s="88"/>
      <c r="D11" s="88"/>
      <c r="E11" s="88"/>
      <c r="F11" s="88"/>
      <c r="G11" s="88"/>
      <c r="H11" s="88"/>
      <c r="I11" s="88"/>
    </row>
    <row r="12" spans="1:9" x14ac:dyDescent="0.25">
      <c r="A12" s="81" t="s">
        <v>28</v>
      </c>
      <c r="B12" s="82">
        <f>SUMIFS(Buchungen!$K$2:$K$151,Buchungen!$C$2:$C$151,"Einnahme",Buchungen!$D$2:$D$151,"Bezahlt",Buchungen!$R$2:$R$151,$B$4)</f>
        <v>13100</v>
      </c>
      <c r="C12" s="53"/>
      <c r="D12" s="72" t="s">
        <v>29</v>
      </c>
      <c r="E12" s="73" t="s">
        <v>28</v>
      </c>
      <c r="F12" s="73" t="s">
        <v>30</v>
      </c>
      <c r="G12" s="73" t="s">
        <v>31</v>
      </c>
      <c r="H12" s="73" t="s">
        <v>32</v>
      </c>
      <c r="I12" s="74" t="s">
        <v>33</v>
      </c>
    </row>
    <row r="13" spans="1:9" x14ac:dyDescent="0.25">
      <c r="A13" s="57" t="s">
        <v>30</v>
      </c>
      <c r="B13" s="83">
        <f>SUMIFS(Buchungen!$K$2:$K$151,Buchungen!$C$2:$C$151,"Ausgabe",Buchungen!$D$2:$D$151,"Bezahlt",Buchungen!$R$2:$R$151,$B$4)</f>
        <v>1698.16</v>
      </c>
      <c r="C13" s="53"/>
      <c r="D13" s="75" t="s">
        <v>34</v>
      </c>
      <c r="E13" s="76">
        <f>SUMIFS(Buchungen!$K$2:$K$151,Buchungen!$C$2:$C$151,"Einnahme",Buchungen!$D$2:$D$151,"Bezahlt",Buchungen!$R$2:$R$151,$B$4,Buchungen!$P$2:$P$151,1)</f>
        <v>3000</v>
      </c>
      <c r="F13" s="76">
        <f>SUMIFS(Buchungen!$K$2:$K$151,Buchungen!$C$2:$C$151,"Ausgabe",Buchungen!$D$2:$D$151,"Bezahlt",Buchungen!$R$2:$R$151,$B$4,Buchungen!$P$2:$P$151,1)</f>
        <v>85</v>
      </c>
      <c r="G13" s="76">
        <f t="shared" ref="G13:G24" si="0">E13-F13</f>
        <v>2915</v>
      </c>
      <c r="H13" s="76">
        <f>SUMIFS(Buchungen!$S$2:$S$151,Buchungen!$R$2:$R$151,$B$4,Buchungen!$P$2:$P$151,1)-SUMIFS(Buchungen!$T$2:$T$151,Buchungen!$R$2:$R$151,$B$4,Buchungen!$P$2:$P$151,1)</f>
        <v>553.85</v>
      </c>
      <c r="I13" s="77">
        <f>SUMIFS(Buchungen!$O$2:$O$151,Buchungen!$R$2:$R$151,$B$4,Buchungen!$P$2:$P$151,1)</f>
        <v>3468.85</v>
      </c>
    </row>
    <row r="14" spans="1:9" x14ac:dyDescent="0.25">
      <c r="A14" s="57" t="s">
        <v>31</v>
      </c>
      <c r="B14" s="84">
        <f>B12-B13</f>
        <v>11401.84</v>
      </c>
      <c r="C14" s="53"/>
      <c r="D14" s="75" t="s">
        <v>35</v>
      </c>
      <c r="E14" s="76">
        <f>SUMIFS(Buchungen!$K$2:$K$151,Buchungen!$C$2:$C$151,"Einnahme",Buchungen!$D$2:$D$151,"Bezahlt",Buchungen!$R$2:$R$151,$B$4,Buchungen!$P$2:$P$151,2)</f>
        <v>800</v>
      </c>
      <c r="F14" s="76">
        <f>SUMIFS(Buchungen!$K$2:$K$151,Buchungen!$C$2:$C$151,"Ausgabe",Buchungen!$D$2:$D$151,"Bezahlt",Buchungen!$R$2:$R$151,$B$4,Buchungen!$P$2:$P$151,2)</f>
        <v>226.01999999999998</v>
      </c>
      <c r="G14" s="76">
        <f t="shared" si="0"/>
        <v>573.98</v>
      </c>
      <c r="H14" s="76">
        <f>SUMIFS(Buchungen!$S$2:$S$151,Buchungen!$R$2:$R$151,$B$4,Buchungen!$P$2:$P$151,2)-SUMIFS(Buchungen!$T$2:$T$151,Buchungen!$R$2:$R$151,$B$4,Buchungen!$P$2:$P$151,2)</f>
        <v>124.84</v>
      </c>
      <c r="I14" s="77">
        <f>SUMIFS(Buchungen!$O$2:$O$151,Buchungen!$R$2:$R$151,$B$4,Buchungen!$P$2:$P$151,2)</f>
        <v>693.12</v>
      </c>
    </row>
    <row r="15" spans="1:9" x14ac:dyDescent="0.25">
      <c r="A15" s="57" t="s">
        <v>36</v>
      </c>
      <c r="B15" s="83">
        <f>SUMIFS(Buchungen!$S$2:$S$151,Buchungen!$R$2:$R$151,$B$4)</f>
        <v>2375</v>
      </c>
      <c r="C15" s="53"/>
      <c r="D15" s="75" t="s">
        <v>37</v>
      </c>
      <c r="E15" s="76">
        <f>SUMIFS(Buchungen!$K$2:$K$151,Buchungen!$C$2:$C$151,"Einnahme",Buchungen!$D$2:$D$151,"Bezahlt",Buchungen!$R$2:$R$151,$B$4,Buchungen!$P$2:$P$151,3)</f>
        <v>2000</v>
      </c>
      <c r="F15" s="76">
        <f>SUMIFS(Buchungen!$K$2:$K$151,Buchungen!$C$2:$C$151,"Ausgabe",Buchungen!$D$2:$D$151,"Bezahlt",Buchungen!$R$2:$R$151,$B$4,Buchungen!$P$2:$P$151,3)</f>
        <v>290</v>
      </c>
      <c r="G15" s="76">
        <f t="shared" si="0"/>
        <v>1710</v>
      </c>
      <c r="H15" s="76">
        <f>SUMIFS(Buchungen!$S$2:$S$151,Buchungen!$R$2:$R$151,$B$4,Buchungen!$P$2:$P$151,3)-SUMIFS(Buchungen!$T$2:$T$151,Buchungen!$R$2:$R$151,$B$4,Buchungen!$P$2:$P$151,3)</f>
        <v>329.7</v>
      </c>
      <c r="I15" s="77">
        <f>SUMIFS(Buchungen!$O$2:$O$151,Buchungen!$R$2:$R$151,$B$4,Buchungen!$P$2:$P$151,3)</f>
        <v>1334.7</v>
      </c>
    </row>
    <row r="16" spans="1:9" x14ac:dyDescent="0.25">
      <c r="A16" s="57" t="s">
        <v>38</v>
      </c>
      <c r="B16" s="83">
        <f>SUMIFS(Buchungen!$T$2:$T$151,Buchungen!$R$2:$R$151,$B$4)</f>
        <v>278.57</v>
      </c>
      <c r="C16" s="53"/>
      <c r="D16" s="75" t="s">
        <v>39</v>
      </c>
      <c r="E16" s="76">
        <f>SUMIFS(Buchungen!$K$2:$K$151,Buchungen!$C$2:$C$151,"Einnahme",Buchungen!$D$2:$D$151,"Bezahlt",Buchungen!$R$2:$R$151,$B$4,Buchungen!$P$2:$P$151,4)</f>
        <v>2600</v>
      </c>
      <c r="F16" s="76">
        <f>SUMIFS(Buchungen!$K$2:$K$151,Buchungen!$C$2:$C$151,"Ausgabe",Buchungen!$D$2:$D$151,"Bezahlt",Buchungen!$R$2:$R$151,$B$4,Buchungen!$P$2:$P$151,4)</f>
        <v>488</v>
      </c>
      <c r="G16" s="76">
        <f t="shared" si="0"/>
        <v>2112</v>
      </c>
      <c r="H16" s="76">
        <f>SUMIFS(Buchungen!$S$2:$S$151,Buchungen!$R$2:$R$151,$B$4,Buchungen!$P$2:$P$151,4)-SUMIFS(Buchungen!$T$2:$T$151,Buchungen!$R$2:$R$151,$B$4,Buchungen!$P$2:$P$151,4)</f>
        <v>408.5</v>
      </c>
      <c r="I16" s="77">
        <f>SUMIFS(Buchungen!$O$2:$O$151,Buchungen!$R$2:$R$151,$B$4,Buchungen!$P$2:$P$151,4)</f>
        <v>2520.5</v>
      </c>
    </row>
    <row r="17" spans="1:9" x14ac:dyDescent="0.25">
      <c r="A17" s="57" t="s">
        <v>32</v>
      </c>
      <c r="B17" s="85">
        <f>B15-B16</f>
        <v>2096.4299999999998</v>
      </c>
      <c r="C17" s="53"/>
      <c r="D17" s="75" t="s">
        <v>40</v>
      </c>
      <c r="E17" s="76">
        <f>SUMIFS(Buchungen!$K$2:$K$151,Buchungen!$C$2:$C$151,"Einnahme",Buchungen!$D$2:$D$151,"Bezahlt",Buchungen!$R$2:$R$151,$B$4,Buchungen!$P$2:$P$151,5)</f>
        <v>600</v>
      </c>
      <c r="F17" s="76">
        <f>SUMIFS(Buchungen!$K$2:$K$151,Buchungen!$C$2:$C$151,"Ausgabe",Buchungen!$D$2:$D$151,"Bezahlt",Buchungen!$R$2:$R$151,$B$4,Buchungen!$P$2:$P$151,5)</f>
        <v>209.24</v>
      </c>
      <c r="G17" s="76">
        <f t="shared" si="0"/>
        <v>390.76</v>
      </c>
      <c r="H17" s="76">
        <f>SUMIFS(Buchungen!$S$2:$S$151,Buchungen!$R$2:$R$151,$B$4,Buchungen!$P$2:$P$151,5)-SUMIFS(Buchungen!$T$2:$T$151,Buchungen!$R$2:$R$151,$B$4,Buchungen!$P$2:$P$151,5)</f>
        <v>-39.76</v>
      </c>
      <c r="I17" s="77">
        <f>SUMIFS(Buchungen!$O$2:$O$151,Buchungen!$R$2:$R$151,$B$4,Buchungen!$P$2:$P$151,5)</f>
        <v>1351</v>
      </c>
    </row>
    <row r="18" spans="1:9" x14ac:dyDescent="0.25">
      <c r="A18" s="57" t="s">
        <v>41</v>
      </c>
      <c r="B18" s="83">
        <f>SUMIFS(Buchungen!$I$2:$I$151,Buchungen!$C$2:$C$151,"Einnahme",Buchungen!$D$2:$D$151,"Offen",Buchungen!$R$2:$R$151,$B$4)</f>
        <v>3213</v>
      </c>
      <c r="C18" s="53"/>
      <c r="D18" s="75" t="s">
        <v>42</v>
      </c>
      <c r="E18" s="76">
        <f>SUMIFS(Buchungen!$K$2:$K$151,Buchungen!$C$2:$C$151,"Einnahme",Buchungen!$D$2:$D$151,"Bezahlt",Buchungen!$R$2:$R$151,$B$4,Buchungen!$P$2:$P$151,6)</f>
        <v>600</v>
      </c>
      <c r="F18" s="76">
        <f>SUMIFS(Buchungen!$K$2:$K$151,Buchungen!$C$2:$C$151,"Ausgabe",Buchungen!$D$2:$D$151,"Bezahlt",Buchungen!$R$2:$R$151,$B$4,Buchungen!$P$2:$P$151,6)</f>
        <v>390</v>
      </c>
      <c r="G18" s="76">
        <f t="shared" si="0"/>
        <v>210</v>
      </c>
      <c r="H18" s="76">
        <f>SUMIFS(Buchungen!$S$2:$S$151,Buchungen!$R$2:$R$151,$B$4,Buchungen!$P$2:$P$151,6)-SUMIFS(Buchungen!$T$2:$T$151,Buchungen!$R$2:$R$151,$B$4,Buchungen!$P$2:$P$151,6)</f>
        <v>54.300000000000004</v>
      </c>
      <c r="I18" s="77">
        <f>SUMIFS(Buchungen!$O$2:$O$151,Buchungen!$R$2:$R$151,$B$4,Buchungen!$P$2:$P$151,6)</f>
        <v>-585.70000000000005</v>
      </c>
    </row>
    <row r="19" spans="1:9" x14ac:dyDescent="0.25">
      <c r="A19" s="57" t="s">
        <v>43</v>
      </c>
      <c r="B19" s="83">
        <f>SUMIFS(Buchungen!$I$2:$I$151,Buchungen!$C$2:$C$151,"Ausgabe",Buchungen!$D$2:$D$151,"Offen",Buchungen!$R$2:$R$151,$B$4)</f>
        <v>0</v>
      </c>
      <c r="C19" s="53"/>
      <c r="D19" s="75" t="s">
        <v>44</v>
      </c>
      <c r="E19" s="76">
        <f>SUMIFS(Buchungen!$K$2:$K$151,Buchungen!$C$2:$C$151,"Einnahme",Buchungen!$D$2:$D$151,"Bezahlt",Buchungen!$R$2:$R$151,$B$4,Buchungen!$P$2:$P$151,7)</f>
        <v>3500</v>
      </c>
      <c r="F19" s="76">
        <f>SUMIFS(Buchungen!$K$2:$K$151,Buchungen!$C$2:$C$151,"Ausgabe",Buchungen!$D$2:$D$151,"Bezahlt",Buchungen!$R$2:$R$151,$B$4,Buchungen!$P$2:$P$151,7)</f>
        <v>9.9</v>
      </c>
      <c r="G19" s="76">
        <f t="shared" si="0"/>
        <v>3490.1</v>
      </c>
      <c r="H19" s="76">
        <f>SUMIFS(Buchungen!$S$2:$S$151,Buchungen!$R$2:$R$151,$B$4,Buchungen!$P$2:$P$151,7)-SUMIFS(Buchungen!$T$2:$T$151,Buchungen!$R$2:$R$151,$B$4,Buchungen!$P$2:$P$151,7)</f>
        <v>665</v>
      </c>
      <c r="I19" s="77">
        <f>SUMIFS(Buchungen!$O$2:$O$151,Buchungen!$R$2:$R$151,$B$4,Buchungen!$P$2:$P$151,7)</f>
        <v>4155.1000000000004</v>
      </c>
    </row>
    <row r="20" spans="1:9" x14ac:dyDescent="0.25">
      <c r="A20" s="61" t="s">
        <v>45</v>
      </c>
      <c r="B20" s="86">
        <f>B7+SUMIFS(Buchungen!$O$2:$O$151,Buchungen!$R$2:$R$151,$B$4)</f>
        <v>15387.570000000002</v>
      </c>
      <c r="C20" s="53"/>
      <c r="D20" s="75" t="s">
        <v>46</v>
      </c>
      <c r="E20" s="76">
        <f>SUMIFS(Buchungen!$K$2:$K$151,Buchungen!$C$2:$C$151,"Einnahme",Buchungen!$D$2:$D$151,"Bezahlt",Buchungen!$R$2:$R$151,$B$4,Buchungen!$P$2:$P$151,8)</f>
        <v>0</v>
      </c>
      <c r="F20" s="76">
        <f>SUMIFS(Buchungen!$K$2:$K$151,Buchungen!$C$2:$C$151,"Ausgabe",Buchungen!$D$2:$D$151,"Bezahlt",Buchungen!$R$2:$R$151,$B$4,Buchungen!$P$2:$P$151,8)</f>
        <v>0</v>
      </c>
      <c r="G20" s="76">
        <f t="shared" si="0"/>
        <v>0</v>
      </c>
      <c r="H20" s="76">
        <f>SUMIFS(Buchungen!$S$2:$S$151,Buchungen!$R$2:$R$151,$B$4,Buchungen!$P$2:$P$151,8)-SUMIFS(Buchungen!$T$2:$T$151,Buchungen!$R$2:$R$151,$B$4,Buchungen!$P$2:$P$151,8)</f>
        <v>0</v>
      </c>
      <c r="I20" s="77">
        <f>SUMIFS(Buchungen!$O$2:$O$151,Buchungen!$R$2:$R$151,$B$4,Buchungen!$P$2:$P$151,8)</f>
        <v>0</v>
      </c>
    </row>
    <row r="21" spans="1:9" x14ac:dyDescent="0.25">
      <c r="A21" s="53"/>
      <c r="B21" s="53"/>
      <c r="C21" s="53"/>
      <c r="D21" s="75" t="s">
        <v>47</v>
      </c>
      <c r="E21" s="76">
        <f>SUMIFS(Buchungen!$K$2:$K$151,Buchungen!$C$2:$C$151,"Einnahme",Buchungen!$D$2:$D$151,"Bezahlt",Buchungen!$R$2:$R$151,$B$4,Buchungen!$P$2:$P$151,9)</f>
        <v>0</v>
      </c>
      <c r="F21" s="76">
        <f>SUMIFS(Buchungen!$K$2:$K$151,Buchungen!$C$2:$C$151,"Ausgabe",Buchungen!$D$2:$D$151,"Bezahlt",Buchungen!$R$2:$R$151,$B$4,Buchungen!$P$2:$P$151,9)</f>
        <v>0</v>
      </c>
      <c r="G21" s="76">
        <f t="shared" si="0"/>
        <v>0</v>
      </c>
      <c r="H21" s="76">
        <f>SUMIFS(Buchungen!$S$2:$S$151,Buchungen!$R$2:$R$151,$B$4,Buchungen!$P$2:$P$151,9)-SUMIFS(Buchungen!$T$2:$T$151,Buchungen!$R$2:$R$151,$B$4,Buchungen!$P$2:$P$151,9)</f>
        <v>0</v>
      </c>
      <c r="I21" s="77">
        <f>SUMIFS(Buchungen!$O$2:$O$151,Buchungen!$R$2:$R$151,$B$4,Buchungen!$P$2:$P$151,9)</f>
        <v>0</v>
      </c>
    </row>
    <row r="22" spans="1:9" x14ac:dyDescent="0.25">
      <c r="A22" s="53"/>
      <c r="B22" s="53"/>
      <c r="C22" s="53"/>
      <c r="D22" s="75" t="s">
        <v>48</v>
      </c>
      <c r="E22" s="76">
        <f>SUMIFS(Buchungen!$K$2:$K$151,Buchungen!$C$2:$C$151,"Einnahme",Buchungen!$D$2:$D$151,"Bezahlt",Buchungen!$R$2:$R$151,$B$4,Buchungen!$P$2:$P$151,10)</f>
        <v>0</v>
      </c>
      <c r="F22" s="76">
        <f>SUMIFS(Buchungen!$K$2:$K$151,Buchungen!$C$2:$C$151,"Ausgabe",Buchungen!$D$2:$D$151,"Bezahlt",Buchungen!$R$2:$R$151,$B$4,Buchungen!$P$2:$P$151,10)</f>
        <v>0</v>
      </c>
      <c r="G22" s="76">
        <f t="shared" si="0"/>
        <v>0</v>
      </c>
      <c r="H22" s="76">
        <f>SUMIFS(Buchungen!$S$2:$S$151,Buchungen!$R$2:$R$151,$B$4,Buchungen!$P$2:$P$151,10)-SUMIFS(Buchungen!$T$2:$T$151,Buchungen!$R$2:$R$151,$B$4,Buchungen!$P$2:$P$151,10)</f>
        <v>0</v>
      </c>
      <c r="I22" s="77">
        <f>SUMIFS(Buchungen!$O$2:$O$151,Buchungen!$R$2:$R$151,$B$4,Buchungen!$P$2:$P$151,10)</f>
        <v>0</v>
      </c>
    </row>
    <row r="23" spans="1:9" x14ac:dyDescent="0.25">
      <c r="A23" s="53"/>
      <c r="B23" s="53"/>
      <c r="C23" s="53"/>
      <c r="D23" s="75" t="s">
        <v>49</v>
      </c>
      <c r="E23" s="76">
        <f>SUMIFS(Buchungen!$K$2:$K$151,Buchungen!$C$2:$C$151,"Einnahme",Buchungen!$D$2:$D$151,"Bezahlt",Buchungen!$R$2:$R$151,$B$4,Buchungen!$P$2:$P$151,11)</f>
        <v>0</v>
      </c>
      <c r="F23" s="76">
        <f>SUMIFS(Buchungen!$K$2:$K$151,Buchungen!$C$2:$C$151,"Ausgabe",Buchungen!$D$2:$D$151,"Bezahlt",Buchungen!$R$2:$R$151,$B$4,Buchungen!$P$2:$P$151,11)</f>
        <v>0</v>
      </c>
      <c r="G23" s="76">
        <f t="shared" si="0"/>
        <v>0</v>
      </c>
      <c r="H23" s="76">
        <f>SUMIFS(Buchungen!$S$2:$S$151,Buchungen!$R$2:$R$151,$B$4,Buchungen!$P$2:$P$151,11)-SUMIFS(Buchungen!$T$2:$T$151,Buchungen!$R$2:$R$151,$B$4,Buchungen!$P$2:$P$151,11)</f>
        <v>0</v>
      </c>
      <c r="I23" s="77">
        <f>SUMIFS(Buchungen!$O$2:$O$151,Buchungen!$R$2:$R$151,$B$4,Buchungen!$P$2:$P$151,11)</f>
        <v>0</v>
      </c>
    </row>
    <row r="24" spans="1:9" x14ac:dyDescent="0.25">
      <c r="A24" s="53"/>
      <c r="B24" s="53"/>
      <c r="C24" s="53"/>
      <c r="D24" s="75" t="s">
        <v>50</v>
      </c>
      <c r="E24" s="76">
        <f>SUMIFS(Buchungen!$K$2:$K$151,Buchungen!$C$2:$C$151,"Einnahme",Buchungen!$D$2:$D$151,"Bezahlt",Buchungen!$R$2:$R$151,$B$4,Buchungen!$P$2:$P$151,12)</f>
        <v>0</v>
      </c>
      <c r="F24" s="76">
        <f>SUMIFS(Buchungen!$K$2:$K$151,Buchungen!$C$2:$C$151,"Ausgabe",Buchungen!$D$2:$D$151,"Bezahlt",Buchungen!$R$2:$R$151,$B$4,Buchungen!$P$2:$P$151,12)</f>
        <v>0</v>
      </c>
      <c r="G24" s="76">
        <f t="shared" si="0"/>
        <v>0</v>
      </c>
      <c r="H24" s="76">
        <f>SUMIFS(Buchungen!$S$2:$S$151,Buchungen!$R$2:$R$151,$B$4,Buchungen!$P$2:$P$151,12)-SUMIFS(Buchungen!$T$2:$T$151,Buchungen!$R$2:$R$151,$B$4,Buchungen!$P$2:$P$151,12)</f>
        <v>0</v>
      </c>
      <c r="I24" s="77">
        <f>SUMIFS(Buchungen!$O$2:$O$151,Buchungen!$R$2:$R$151,$B$4,Buchungen!$P$2:$P$151,12)</f>
        <v>0</v>
      </c>
    </row>
    <row r="25" spans="1:9" x14ac:dyDescent="0.25">
      <c r="A25" s="53"/>
      <c r="B25" s="53"/>
      <c r="C25" s="53"/>
      <c r="D25" s="78" t="s">
        <v>51</v>
      </c>
      <c r="E25" s="79">
        <f>SUM(E13:E24)</f>
        <v>13100</v>
      </c>
      <c r="F25" s="79">
        <f>SUM(F13:F24)</f>
        <v>1698.16</v>
      </c>
      <c r="G25" s="79">
        <f>SUM(G13:G24)</f>
        <v>11401.84</v>
      </c>
      <c r="H25" s="79">
        <f>SUM(H13:H24)</f>
        <v>2096.4300000000003</v>
      </c>
      <c r="I25" s="80">
        <f>SUM(I13:I24)</f>
        <v>12937.57</v>
      </c>
    </row>
    <row r="26" spans="1:9" s="53" customFormat="1" x14ac:dyDescent="0.25"/>
    <row r="27" spans="1:9" s="53" customFormat="1" x14ac:dyDescent="0.25"/>
    <row r="28" spans="1:9" s="53" customFormat="1" x14ac:dyDescent="0.25"/>
    <row r="29" spans="1:9" s="53" customFormat="1" x14ac:dyDescent="0.25"/>
    <row r="30" spans="1:9" s="53" customFormat="1" x14ac:dyDescent="0.25"/>
    <row r="31" spans="1:9" s="53" customFormat="1" x14ac:dyDescent="0.25"/>
    <row r="32" spans="1:9" s="53" customFormat="1" x14ac:dyDescent="0.25"/>
    <row r="33" s="53" customFormat="1" x14ac:dyDescent="0.25"/>
    <row r="34" s="53" customFormat="1" x14ac:dyDescent="0.25"/>
    <row r="35" s="53" customFormat="1" x14ac:dyDescent="0.25"/>
    <row r="36" s="53" customFormat="1" x14ac:dyDescent="0.25"/>
    <row r="37" s="53" customFormat="1" x14ac:dyDescent="0.25"/>
    <row r="38" s="53" customFormat="1" x14ac:dyDescent="0.25"/>
    <row r="39" s="53" customFormat="1" x14ac:dyDescent="0.25"/>
    <row r="40" s="53" customFormat="1" x14ac:dyDescent="0.25"/>
    <row r="41" s="53" customFormat="1" x14ac:dyDescent="0.25"/>
    <row r="42" s="53" customFormat="1" x14ac:dyDescent="0.25"/>
    <row r="43" s="53" customFormat="1" x14ac:dyDescent="0.25"/>
    <row r="44" s="53" customFormat="1" x14ac:dyDescent="0.25"/>
    <row r="45" s="53" customFormat="1" x14ac:dyDescent="0.25"/>
    <row r="46" s="53" customFormat="1" x14ac:dyDescent="0.25"/>
    <row r="47" s="53" customFormat="1" x14ac:dyDescent="0.25"/>
    <row r="48" s="53" customFormat="1" x14ac:dyDescent="0.25"/>
    <row r="49" s="53" customFormat="1" x14ac:dyDescent="0.25"/>
    <row r="50" s="53" customFormat="1" x14ac:dyDescent="0.25"/>
    <row r="51" s="53" customFormat="1" x14ac:dyDescent="0.25"/>
    <row r="52" s="53" customFormat="1" x14ac:dyDescent="0.25"/>
  </sheetData>
  <mergeCells count="9">
    <mergeCell ref="A1:I1"/>
    <mergeCell ref="A3:C3"/>
    <mergeCell ref="E3:I3"/>
    <mergeCell ref="A11:I11"/>
    <mergeCell ref="F4:I4"/>
    <mergeCell ref="F5:I5"/>
    <mergeCell ref="F6:I6"/>
    <mergeCell ref="F7:I7"/>
    <mergeCell ref="F8:I8"/>
  </mergeCells>
  <dataValidations disablePrompts="1" count="1">
    <dataValidation type="list" sqref="B5" xr:uid="{00000000-0002-0000-0000-000000000000}">
      <formula1>"Ja,Nein"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xr:uid="{00000000-0002-0000-0000-000001000000}">
          <x14:formula1>
            <xm:f>Kategorien!$K$2:$K$4</xm:f>
          </x14:formula1>
          <xm:sqref>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51"/>
  <sheetViews>
    <sheetView workbookViewId="0"/>
  </sheetViews>
  <sheetFormatPr baseColWidth="10" defaultColWidth="9" defaultRowHeight="15" x14ac:dyDescent="0.25"/>
  <cols>
    <col min="1" max="1" width="12" customWidth="1"/>
    <col min="2" max="2" width="14" customWidth="1"/>
    <col min="3" max="3" width="17" customWidth="1"/>
    <col min="4" max="4" width="12" customWidth="1"/>
    <col min="5" max="5" width="24" customWidth="1"/>
    <col min="6" max="6" width="28" customWidth="1"/>
    <col min="7" max="7" width="25" customWidth="1"/>
    <col min="8" max="8" width="13" customWidth="1"/>
    <col min="9" max="9" width="14" customWidth="1"/>
    <col min="10" max="10" width="10" customWidth="1"/>
    <col min="11" max="12" width="13" customWidth="1"/>
    <col min="13" max="13" width="11" customWidth="1"/>
    <col min="14" max="14" width="15" customWidth="1"/>
    <col min="15" max="15" width="18" customWidth="1"/>
    <col min="16" max="18" width="9" customWidth="1"/>
    <col min="19" max="19" width="15" customWidth="1"/>
    <col min="20" max="20" width="17" customWidth="1"/>
    <col min="21" max="21" width="18" customWidth="1"/>
    <col min="22" max="22" width="24" customWidth="1"/>
  </cols>
  <sheetData>
    <row r="1" spans="1:22" ht="33.950000000000003" customHeight="1" x14ac:dyDescent="0.25">
      <c r="A1" s="14" t="s">
        <v>52</v>
      </c>
      <c r="B1" s="14" t="s">
        <v>53</v>
      </c>
      <c r="C1" s="14" t="s">
        <v>54</v>
      </c>
      <c r="D1" s="14" t="s">
        <v>55</v>
      </c>
      <c r="E1" s="14" t="s">
        <v>56</v>
      </c>
      <c r="F1" s="14" t="s">
        <v>57</v>
      </c>
      <c r="G1" s="14" t="s">
        <v>58</v>
      </c>
      <c r="H1" s="14" t="s">
        <v>59</v>
      </c>
      <c r="I1" s="14" t="s">
        <v>60</v>
      </c>
      <c r="J1" s="14" t="s">
        <v>61</v>
      </c>
      <c r="K1" s="14" t="s">
        <v>62</v>
      </c>
      <c r="L1" s="14" t="s">
        <v>63</v>
      </c>
      <c r="M1" s="14" t="s">
        <v>64</v>
      </c>
      <c r="N1" s="14" t="s">
        <v>65</v>
      </c>
      <c r="O1" s="14" t="s">
        <v>66</v>
      </c>
      <c r="P1" s="14" t="s">
        <v>29</v>
      </c>
      <c r="Q1" s="14" t="s">
        <v>67</v>
      </c>
      <c r="R1" s="14" t="s">
        <v>68</v>
      </c>
      <c r="S1" s="14" t="s">
        <v>69</v>
      </c>
      <c r="T1" s="14" t="s">
        <v>70</v>
      </c>
      <c r="U1" s="14" t="s">
        <v>23</v>
      </c>
      <c r="V1" s="14" t="s">
        <v>71</v>
      </c>
    </row>
    <row r="2" spans="1:22" x14ac:dyDescent="0.25">
      <c r="A2" s="19">
        <v>46027</v>
      </c>
      <c r="B2" s="20" t="s">
        <v>72</v>
      </c>
      <c r="C2" s="28" t="str">
        <f>IF(G2="","",IFERROR(VLOOKUP(G2,Kategorien!$A$2:$E$23,2,FALSE),"Kategorie prüfen"))</f>
        <v>Einnahme</v>
      </c>
      <c r="D2" s="20" t="s">
        <v>73</v>
      </c>
      <c r="E2" s="20" t="s">
        <v>74</v>
      </c>
      <c r="F2" s="20" t="s">
        <v>75</v>
      </c>
      <c r="G2" s="20" t="s">
        <v>76</v>
      </c>
      <c r="H2" s="20" t="s">
        <v>77</v>
      </c>
      <c r="I2" s="25">
        <v>3570</v>
      </c>
      <c r="J2" s="31">
        <f>IF(G2="","",IFERROR(VLOOKUP(G2,Kategorien!$A$2:$E$23,3,FALSE),0))</f>
        <v>0.19</v>
      </c>
      <c r="K2" s="32">
        <f t="shared" ref="K2:K33" si="0">IF(OR(A2="",I2=""),"",ROUND(I2/(1+J2),2))</f>
        <v>3000</v>
      </c>
      <c r="L2" s="32">
        <f t="shared" ref="L2:L33" si="1">IF(K2="","",ROUND(I2-K2,2))</f>
        <v>570</v>
      </c>
      <c r="M2" s="31">
        <f>IF(G2="","",IFERROR(VLOOKUP(G2,Kategorien!$A$2:$E$23,4,FALSE),1))</f>
        <v>1</v>
      </c>
      <c r="N2" s="32">
        <f t="shared" ref="N2:N33" si="2">IF(K2="","",IF(C2="Einnahme",K2,IF(C2="Ausgabe",-K2*M2,0)))</f>
        <v>3000</v>
      </c>
      <c r="O2" s="32">
        <f t="shared" ref="O2:O33" si="3">IF(OR(D2&lt;&gt;"Bezahlt",I2=""),0,IF(OR(C2="Einnahme",C2="Privateinlage"),I2,IF(OR(C2="Ausgabe",C2="Steuerzahlung",C2="Privatentnahme"),-I2,0)))</f>
        <v>3570</v>
      </c>
      <c r="P2" s="28">
        <f t="shared" ref="P2:P33" si="4">IF(A2="","",MONTH(A2))</f>
        <v>1</v>
      </c>
      <c r="Q2" s="28" t="str">
        <f t="shared" ref="Q2:Q33" si="5">IF(A2="","","Q"&amp;ROUNDUP(MONTH(A2)/3,0))</f>
        <v>Q1</v>
      </c>
      <c r="R2" s="28">
        <f t="shared" ref="R2:R33" si="6">IF(A2="","",YEAR(A2))</f>
        <v>2026</v>
      </c>
      <c r="S2" s="32">
        <f t="shared" ref="S2:S33" si="7">IF(AND(C2="Einnahme",D2="Bezahlt"),L2,0)</f>
        <v>570</v>
      </c>
      <c r="T2" s="32">
        <f t="shared" ref="T2:T33" si="8">IF(AND(C2="Ausgabe",D2="Bezahlt"),L2*M2,0)</f>
        <v>0</v>
      </c>
      <c r="U2" s="37" t="str">
        <f t="shared" ref="U2:U33" si="9">IF(A2="","",IF(B2="","Beleg-Nr. fehlt",IF(I2&lt;=0,"Betrag prüfen",IF(C2="Kategorie prüfen","Kategorie prüfen",""))))</f>
        <v/>
      </c>
      <c r="V2" s="48" t="str">
        <f>IF(G2="","",IFERROR(VLOOKUP(G2,Kategorien!$A$2:$E$23,5,FALSE),""))</f>
        <v>Betriebseinnahmen</v>
      </c>
    </row>
    <row r="3" spans="1:22" x14ac:dyDescent="0.25">
      <c r="A3" s="21">
        <v>46030</v>
      </c>
      <c r="B3" s="22" t="s">
        <v>78</v>
      </c>
      <c r="C3" s="29" t="str">
        <f>IF(G3="","",IFERROR(VLOOKUP(G3,Kategorien!$A$2:$E$23,2,FALSE),"Kategorie prüfen"))</f>
        <v>Ausgabe</v>
      </c>
      <c r="D3" s="22" t="s">
        <v>73</v>
      </c>
      <c r="E3" s="22" t="s">
        <v>79</v>
      </c>
      <c r="F3" s="22" t="s">
        <v>80</v>
      </c>
      <c r="G3" s="22" t="s">
        <v>81</v>
      </c>
      <c r="H3" s="22" t="s">
        <v>82</v>
      </c>
      <c r="I3" s="26">
        <v>59.5</v>
      </c>
      <c r="J3" s="33">
        <f>IF(G3="","",IFERROR(VLOOKUP(G3,Kategorien!$A$2:$E$23,3,FALSE),0))</f>
        <v>0.19</v>
      </c>
      <c r="K3" s="34">
        <f t="shared" si="0"/>
        <v>50</v>
      </c>
      <c r="L3" s="34">
        <f t="shared" si="1"/>
        <v>9.5</v>
      </c>
      <c r="M3" s="33">
        <f>IF(G3="","",IFERROR(VLOOKUP(G3,Kategorien!$A$2:$E$23,4,FALSE),1))</f>
        <v>1</v>
      </c>
      <c r="N3" s="34">
        <f t="shared" si="2"/>
        <v>-50</v>
      </c>
      <c r="O3" s="34">
        <f t="shared" si="3"/>
        <v>-59.5</v>
      </c>
      <c r="P3" s="29">
        <f t="shared" si="4"/>
        <v>1</v>
      </c>
      <c r="Q3" s="29" t="str">
        <f t="shared" si="5"/>
        <v>Q1</v>
      </c>
      <c r="R3" s="29">
        <f t="shared" si="6"/>
        <v>2026</v>
      </c>
      <c r="S3" s="34">
        <f t="shared" si="7"/>
        <v>0</v>
      </c>
      <c r="T3" s="34">
        <f t="shared" si="8"/>
        <v>9.5</v>
      </c>
      <c r="U3" s="38" t="str">
        <f t="shared" si="9"/>
        <v/>
      </c>
      <c r="V3" s="49" t="str">
        <f>IF(G3="","",IFERROR(VLOOKUP(G3,Kategorien!$A$2:$E$23,5,FALSE),""))</f>
        <v>Software / Lizenzen</v>
      </c>
    </row>
    <row r="4" spans="1:22" x14ac:dyDescent="0.25">
      <c r="A4" s="21">
        <v>46034</v>
      </c>
      <c r="B4" s="22" t="s">
        <v>83</v>
      </c>
      <c r="C4" s="29" t="str">
        <f>IF(G4="","",IFERROR(VLOOKUP(G4,Kategorien!$A$2:$E$23,2,FALSE),"Kategorie prüfen"))</f>
        <v>Ausgabe</v>
      </c>
      <c r="D4" s="22" t="s">
        <v>73</v>
      </c>
      <c r="E4" s="22" t="s">
        <v>84</v>
      </c>
      <c r="F4" s="22" t="s">
        <v>85</v>
      </c>
      <c r="G4" s="22" t="s">
        <v>86</v>
      </c>
      <c r="H4" s="22" t="s">
        <v>77</v>
      </c>
      <c r="I4" s="26">
        <v>41.65</v>
      </c>
      <c r="J4" s="33">
        <f>IF(G4="","",IFERROR(VLOOKUP(G4,Kategorien!$A$2:$E$23,3,FALSE),0))</f>
        <v>0.19</v>
      </c>
      <c r="K4" s="34">
        <f t="shared" si="0"/>
        <v>35</v>
      </c>
      <c r="L4" s="34">
        <f t="shared" si="1"/>
        <v>6.65</v>
      </c>
      <c r="M4" s="33">
        <f>IF(G4="","",IFERROR(VLOOKUP(G4,Kategorien!$A$2:$E$23,4,FALSE),1))</f>
        <v>1</v>
      </c>
      <c r="N4" s="34">
        <f t="shared" si="2"/>
        <v>-35</v>
      </c>
      <c r="O4" s="34">
        <f t="shared" si="3"/>
        <v>-41.65</v>
      </c>
      <c r="P4" s="29">
        <f t="shared" si="4"/>
        <v>1</v>
      </c>
      <c r="Q4" s="29" t="str">
        <f t="shared" si="5"/>
        <v>Q1</v>
      </c>
      <c r="R4" s="29">
        <f t="shared" si="6"/>
        <v>2026</v>
      </c>
      <c r="S4" s="34">
        <f t="shared" si="7"/>
        <v>0</v>
      </c>
      <c r="T4" s="34">
        <f t="shared" si="8"/>
        <v>6.65</v>
      </c>
      <c r="U4" s="38" t="str">
        <f t="shared" si="9"/>
        <v/>
      </c>
      <c r="V4" s="49" t="str">
        <f>IF(G4="","",IFERROR(VLOOKUP(G4,Kategorien!$A$2:$E$23,5,FALSE),""))</f>
        <v>Bürobedarf</v>
      </c>
    </row>
    <row r="5" spans="1:22" x14ac:dyDescent="0.25">
      <c r="A5" s="21">
        <v>46042</v>
      </c>
      <c r="B5" s="22" t="s">
        <v>87</v>
      </c>
      <c r="C5" s="29" t="str">
        <f>IF(G5="","",IFERROR(VLOOKUP(G5,Kategorien!$A$2:$E$23,2,FALSE),"Kategorie prüfen"))</f>
        <v>Einnahme</v>
      </c>
      <c r="D5" s="22" t="s">
        <v>88</v>
      </c>
      <c r="E5" s="22" t="s">
        <v>89</v>
      </c>
      <c r="F5" s="22" t="s">
        <v>90</v>
      </c>
      <c r="G5" s="22" t="s">
        <v>91</v>
      </c>
      <c r="H5" s="22" t="s">
        <v>77</v>
      </c>
      <c r="I5" s="26">
        <v>1428</v>
      </c>
      <c r="J5" s="33">
        <f>IF(G5="","",IFERROR(VLOOKUP(G5,Kategorien!$A$2:$E$23,3,FALSE),0))</f>
        <v>0.19</v>
      </c>
      <c r="K5" s="34">
        <f t="shared" si="0"/>
        <v>1200</v>
      </c>
      <c r="L5" s="34">
        <f t="shared" si="1"/>
        <v>228</v>
      </c>
      <c r="M5" s="33">
        <f>IF(G5="","",IFERROR(VLOOKUP(G5,Kategorien!$A$2:$E$23,4,FALSE),1))</f>
        <v>1</v>
      </c>
      <c r="N5" s="34">
        <f t="shared" si="2"/>
        <v>1200</v>
      </c>
      <c r="O5" s="34">
        <f t="shared" si="3"/>
        <v>0</v>
      </c>
      <c r="P5" s="29">
        <f t="shared" si="4"/>
        <v>1</v>
      </c>
      <c r="Q5" s="29" t="str">
        <f t="shared" si="5"/>
        <v>Q1</v>
      </c>
      <c r="R5" s="29">
        <f t="shared" si="6"/>
        <v>2026</v>
      </c>
      <c r="S5" s="34">
        <f t="shared" si="7"/>
        <v>0</v>
      </c>
      <c r="T5" s="34">
        <f t="shared" si="8"/>
        <v>0</v>
      </c>
      <c r="U5" s="38" t="str">
        <f t="shared" si="9"/>
        <v/>
      </c>
      <c r="V5" s="49" t="str">
        <f>IF(G5="","",IFERROR(VLOOKUP(G5,Kategorien!$A$2:$E$23,5,FALSE),""))</f>
        <v>Betriebseinnahmen</v>
      </c>
    </row>
    <row r="6" spans="1:22" x14ac:dyDescent="0.25">
      <c r="A6" s="21">
        <v>46055</v>
      </c>
      <c r="B6" s="22" t="s">
        <v>92</v>
      </c>
      <c r="C6" s="29" t="str">
        <f>IF(G6="","",IFERROR(VLOOKUP(G6,Kategorien!$A$2:$E$23,2,FALSE),"Kategorie prüfen"))</f>
        <v>Ausgabe</v>
      </c>
      <c r="D6" s="22" t="s">
        <v>73</v>
      </c>
      <c r="E6" s="22" t="s">
        <v>93</v>
      </c>
      <c r="F6" s="22" t="s">
        <v>94</v>
      </c>
      <c r="G6" s="22" t="s">
        <v>95</v>
      </c>
      <c r="H6" s="22" t="s">
        <v>96</v>
      </c>
      <c r="I6" s="26">
        <v>49.98</v>
      </c>
      <c r="J6" s="33">
        <f>IF(G6="","",IFERROR(VLOOKUP(G6,Kategorien!$A$2:$E$23,3,FALSE),0))</f>
        <v>0.19</v>
      </c>
      <c r="K6" s="34">
        <f t="shared" si="0"/>
        <v>42</v>
      </c>
      <c r="L6" s="34">
        <f t="shared" si="1"/>
        <v>7.98</v>
      </c>
      <c r="M6" s="33">
        <f>IF(G6="","",IFERROR(VLOOKUP(G6,Kategorien!$A$2:$E$23,4,FALSE),1))</f>
        <v>1</v>
      </c>
      <c r="N6" s="34">
        <f t="shared" si="2"/>
        <v>-42</v>
      </c>
      <c r="O6" s="34">
        <f t="shared" si="3"/>
        <v>-49.98</v>
      </c>
      <c r="P6" s="29">
        <f t="shared" si="4"/>
        <v>2</v>
      </c>
      <c r="Q6" s="29" t="str">
        <f t="shared" si="5"/>
        <v>Q1</v>
      </c>
      <c r="R6" s="29">
        <f t="shared" si="6"/>
        <v>2026</v>
      </c>
      <c r="S6" s="34">
        <f t="shared" si="7"/>
        <v>0</v>
      </c>
      <c r="T6" s="34">
        <f t="shared" si="8"/>
        <v>7.98</v>
      </c>
      <c r="U6" s="38" t="str">
        <f t="shared" si="9"/>
        <v/>
      </c>
      <c r="V6" s="49" t="str">
        <f>IF(G6="","",IFERROR(VLOOKUP(G6,Kategorien!$A$2:$E$23,5,FALSE),""))</f>
        <v>Kommunikation</v>
      </c>
    </row>
    <row r="7" spans="1:22" x14ac:dyDescent="0.25">
      <c r="A7" s="21">
        <v>46059</v>
      </c>
      <c r="B7" s="22" t="s">
        <v>97</v>
      </c>
      <c r="C7" s="29" t="str">
        <f>IF(G7="","",IFERROR(VLOOKUP(G7,Kategorien!$A$2:$E$23,2,FALSE),"Kategorie prüfen"))</f>
        <v>Einnahme</v>
      </c>
      <c r="D7" s="22" t="s">
        <v>73</v>
      </c>
      <c r="E7" s="22" t="s">
        <v>98</v>
      </c>
      <c r="F7" s="22" t="s">
        <v>99</v>
      </c>
      <c r="G7" s="22" t="s">
        <v>100</v>
      </c>
      <c r="H7" s="22" t="s">
        <v>77</v>
      </c>
      <c r="I7" s="26">
        <v>952</v>
      </c>
      <c r="J7" s="33">
        <f>IF(G7="","",IFERROR(VLOOKUP(G7,Kategorien!$A$2:$E$23,3,FALSE),0))</f>
        <v>0.19</v>
      </c>
      <c r="K7" s="34">
        <f t="shared" si="0"/>
        <v>800</v>
      </c>
      <c r="L7" s="34">
        <f t="shared" si="1"/>
        <v>152</v>
      </c>
      <c r="M7" s="33">
        <f>IF(G7="","",IFERROR(VLOOKUP(G7,Kategorien!$A$2:$E$23,4,FALSE),1))</f>
        <v>1</v>
      </c>
      <c r="N7" s="34">
        <f t="shared" si="2"/>
        <v>800</v>
      </c>
      <c r="O7" s="34">
        <f t="shared" si="3"/>
        <v>952</v>
      </c>
      <c r="P7" s="29">
        <f t="shared" si="4"/>
        <v>2</v>
      </c>
      <c r="Q7" s="29" t="str">
        <f t="shared" si="5"/>
        <v>Q1</v>
      </c>
      <c r="R7" s="29">
        <f t="shared" si="6"/>
        <v>2026</v>
      </c>
      <c r="S7" s="34">
        <f t="shared" si="7"/>
        <v>152</v>
      </c>
      <c r="T7" s="34">
        <f t="shared" si="8"/>
        <v>0</v>
      </c>
      <c r="U7" s="38" t="str">
        <f t="shared" si="9"/>
        <v/>
      </c>
      <c r="V7" s="49" t="str">
        <f>IF(G7="","",IFERROR(VLOOKUP(G7,Kategorien!$A$2:$E$23,5,FALSE),""))</f>
        <v>Betriebseinnahmen</v>
      </c>
    </row>
    <row r="8" spans="1:22" x14ac:dyDescent="0.25">
      <c r="A8" s="21">
        <v>46067</v>
      </c>
      <c r="B8" s="22" t="s">
        <v>101</v>
      </c>
      <c r="C8" s="29" t="str">
        <f>IF(G8="","",IFERROR(VLOOKUP(G8,Kategorien!$A$2:$E$23,2,FALSE),"Kategorie prüfen"))</f>
        <v>Ausgabe</v>
      </c>
      <c r="D8" s="22" t="s">
        <v>73</v>
      </c>
      <c r="E8" s="22" t="s">
        <v>102</v>
      </c>
      <c r="F8" s="22" t="s">
        <v>103</v>
      </c>
      <c r="G8" s="22" t="s">
        <v>104</v>
      </c>
      <c r="H8" s="22" t="s">
        <v>82</v>
      </c>
      <c r="I8" s="26">
        <v>89.9</v>
      </c>
      <c r="J8" s="33">
        <f>IF(G8="","",IFERROR(VLOOKUP(G8,Kategorien!$A$2:$E$23,3,FALSE),0))</f>
        <v>7.0000000000000007E-2</v>
      </c>
      <c r="K8" s="34">
        <f t="shared" si="0"/>
        <v>84.02</v>
      </c>
      <c r="L8" s="34">
        <f t="shared" si="1"/>
        <v>5.88</v>
      </c>
      <c r="M8" s="33">
        <f>IF(G8="","",IFERROR(VLOOKUP(G8,Kategorien!$A$2:$E$23,4,FALSE),1))</f>
        <v>1</v>
      </c>
      <c r="N8" s="34">
        <f t="shared" si="2"/>
        <v>-84.02</v>
      </c>
      <c r="O8" s="34">
        <f t="shared" si="3"/>
        <v>-89.9</v>
      </c>
      <c r="P8" s="29">
        <f t="shared" si="4"/>
        <v>2</v>
      </c>
      <c r="Q8" s="29" t="str">
        <f t="shared" si="5"/>
        <v>Q1</v>
      </c>
      <c r="R8" s="29">
        <f t="shared" si="6"/>
        <v>2026</v>
      </c>
      <c r="S8" s="34">
        <f t="shared" si="7"/>
        <v>0</v>
      </c>
      <c r="T8" s="34">
        <f t="shared" si="8"/>
        <v>5.88</v>
      </c>
      <c r="U8" s="38" t="str">
        <f t="shared" si="9"/>
        <v/>
      </c>
      <c r="V8" s="49" t="str">
        <f>IF(G8="","",IFERROR(VLOOKUP(G8,Kategorien!$A$2:$E$23,5,FALSE),""))</f>
        <v>Reisekosten</v>
      </c>
    </row>
    <row r="9" spans="1:22" x14ac:dyDescent="0.25">
      <c r="A9" s="21">
        <v>46075</v>
      </c>
      <c r="B9" s="22" t="s">
        <v>105</v>
      </c>
      <c r="C9" s="29" t="str">
        <f>IF(G9="","",IFERROR(VLOOKUP(G9,Kategorien!$A$2:$E$23,2,FALSE),"Kategorie prüfen"))</f>
        <v>Ausgabe</v>
      </c>
      <c r="D9" s="22" t="s">
        <v>73</v>
      </c>
      <c r="E9" s="22" t="s">
        <v>106</v>
      </c>
      <c r="F9" s="22" t="s">
        <v>107</v>
      </c>
      <c r="G9" s="22" t="s">
        <v>108</v>
      </c>
      <c r="H9" s="22" t="s">
        <v>82</v>
      </c>
      <c r="I9" s="26">
        <v>119</v>
      </c>
      <c r="J9" s="33">
        <f>IF(G9="","",IFERROR(VLOOKUP(G9,Kategorien!$A$2:$E$23,3,FALSE),0))</f>
        <v>0.19</v>
      </c>
      <c r="K9" s="34">
        <f t="shared" si="0"/>
        <v>100</v>
      </c>
      <c r="L9" s="34">
        <f t="shared" si="1"/>
        <v>19</v>
      </c>
      <c r="M9" s="33">
        <f>IF(G9="","",IFERROR(VLOOKUP(G9,Kategorien!$A$2:$E$23,4,FALSE),1))</f>
        <v>0.7</v>
      </c>
      <c r="N9" s="34">
        <f t="shared" si="2"/>
        <v>-70</v>
      </c>
      <c r="O9" s="34">
        <f t="shared" si="3"/>
        <v>-119</v>
      </c>
      <c r="P9" s="29">
        <f t="shared" si="4"/>
        <v>2</v>
      </c>
      <c r="Q9" s="29" t="str">
        <f t="shared" si="5"/>
        <v>Q1</v>
      </c>
      <c r="R9" s="29">
        <f t="shared" si="6"/>
        <v>2026</v>
      </c>
      <c r="S9" s="34">
        <f t="shared" si="7"/>
        <v>0</v>
      </c>
      <c r="T9" s="34">
        <f t="shared" si="8"/>
        <v>13.299999999999999</v>
      </c>
      <c r="U9" s="38" t="str">
        <f t="shared" si="9"/>
        <v/>
      </c>
      <c r="V9" s="49" t="str">
        <f>IF(G9="","",IFERROR(VLOOKUP(G9,Kategorien!$A$2:$E$23,5,FALSE),""))</f>
        <v>Bewirtung 70%</v>
      </c>
    </row>
    <row r="10" spans="1:22" x14ac:dyDescent="0.25">
      <c r="A10" s="21">
        <v>46082</v>
      </c>
      <c r="B10" s="22" t="s">
        <v>109</v>
      </c>
      <c r="C10" s="29" t="str">
        <f>IF(G10="","",IFERROR(VLOOKUP(G10,Kategorien!$A$2:$E$23,2,FALSE),"Kategorie prüfen"))</f>
        <v>Ausgabe</v>
      </c>
      <c r="D10" s="22" t="s">
        <v>73</v>
      </c>
      <c r="E10" s="22" t="s">
        <v>110</v>
      </c>
      <c r="F10" s="22" t="s">
        <v>111</v>
      </c>
      <c r="G10" s="22" t="s">
        <v>112</v>
      </c>
      <c r="H10" s="22" t="s">
        <v>77</v>
      </c>
      <c r="I10" s="26">
        <v>297.5</v>
      </c>
      <c r="J10" s="33">
        <f>IF(G10="","",IFERROR(VLOOKUP(G10,Kategorien!$A$2:$E$23,3,FALSE),0))</f>
        <v>0.19</v>
      </c>
      <c r="K10" s="34">
        <f t="shared" si="0"/>
        <v>250</v>
      </c>
      <c r="L10" s="34">
        <f t="shared" si="1"/>
        <v>47.5</v>
      </c>
      <c r="M10" s="33">
        <f>IF(G10="","",IFERROR(VLOOKUP(G10,Kategorien!$A$2:$E$23,4,FALSE),1))</f>
        <v>1</v>
      </c>
      <c r="N10" s="34">
        <f t="shared" si="2"/>
        <v>-250</v>
      </c>
      <c r="O10" s="34">
        <f t="shared" si="3"/>
        <v>-297.5</v>
      </c>
      <c r="P10" s="29">
        <f t="shared" si="4"/>
        <v>3</v>
      </c>
      <c r="Q10" s="29" t="str">
        <f t="shared" si="5"/>
        <v>Q1</v>
      </c>
      <c r="R10" s="29">
        <f t="shared" si="6"/>
        <v>2026</v>
      </c>
      <c r="S10" s="34">
        <f t="shared" si="7"/>
        <v>0</v>
      </c>
      <c r="T10" s="34">
        <f t="shared" si="8"/>
        <v>47.5</v>
      </c>
      <c r="U10" s="38" t="str">
        <f t="shared" si="9"/>
        <v/>
      </c>
      <c r="V10" s="49" t="str">
        <f>IF(G10="","",IFERROR(VLOOKUP(G10,Kategorien!$A$2:$E$23,5,FALSE),""))</f>
        <v>Raumkosten</v>
      </c>
    </row>
    <row r="11" spans="1:22" x14ac:dyDescent="0.25">
      <c r="A11" s="21">
        <v>46091</v>
      </c>
      <c r="B11" s="22" t="s">
        <v>113</v>
      </c>
      <c r="C11" s="29" t="str">
        <f>IF(G11="","",IFERROR(VLOOKUP(G11,Kategorien!$A$2:$E$23,2,FALSE),"Kategorie prüfen"))</f>
        <v>Einnahme</v>
      </c>
      <c r="D11" s="22" t="s">
        <v>73</v>
      </c>
      <c r="E11" s="22" t="s">
        <v>114</v>
      </c>
      <c r="F11" s="22" t="s">
        <v>115</v>
      </c>
      <c r="G11" s="22" t="s">
        <v>76</v>
      </c>
      <c r="H11" s="22" t="s">
        <v>77</v>
      </c>
      <c r="I11" s="26">
        <v>2380</v>
      </c>
      <c r="J11" s="33">
        <f>IF(G11="","",IFERROR(VLOOKUP(G11,Kategorien!$A$2:$E$23,3,FALSE),0))</f>
        <v>0.19</v>
      </c>
      <c r="K11" s="34">
        <f t="shared" si="0"/>
        <v>2000</v>
      </c>
      <c r="L11" s="34">
        <f t="shared" si="1"/>
        <v>380</v>
      </c>
      <c r="M11" s="33">
        <f>IF(G11="","",IFERROR(VLOOKUP(G11,Kategorien!$A$2:$E$23,4,FALSE),1))</f>
        <v>1</v>
      </c>
      <c r="N11" s="34">
        <f t="shared" si="2"/>
        <v>2000</v>
      </c>
      <c r="O11" s="34">
        <f t="shared" si="3"/>
        <v>2380</v>
      </c>
      <c r="P11" s="29">
        <f t="shared" si="4"/>
        <v>3</v>
      </c>
      <c r="Q11" s="29" t="str">
        <f t="shared" si="5"/>
        <v>Q1</v>
      </c>
      <c r="R11" s="29">
        <f t="shared" si="6"/>
        <v>2026</v>
      </c>
      <c r="S11" s="34">
        <f t="shared" si="7"/>
        <v>380</v>
      </c>
      <c r="T11" s="34">
        <f t="shared" si="8"/>
        <v>0</v>
      </c>
      <c r="U11" s="38" t="str">
        <f t="shared" si="9"/>
        <v/>
      </c>
      <c r="V11" s="49" t="str">
        <f>IF(G11="","",IFERROR(VLOOKUP(G11,Kategorien!$A$2:$E$23,5,FALSE),""))</f>
        <v>Betriebseinnahmen</v>
      </c>
    </row>
    <row r="12" spans="1:22" x14ac:dyDescent="0.25">
      <c r="A12" s="21">
        <v>46099</v>
      </c>
      <c r="B12" s="22" t="s">
        <v>116</v>
      </c>
      <c r="C12" s="29" t="str">
        <f>IF(G12="","",IFERROR(VLOOKUP(G12,Kategorien!$A$2:$E$23,2,FALSE),"Kategorie prüfen"))</f>
        <v>Ausgabe</v>
      </c>
      <c r="D12" s="22" t="s">
        <v>73</v>
      </c>
      <c r="E12" s="22" t="s">
        <v>117</v>
      </c>
      <c r="F12" s="22" t="s">
        <v>118</v>
      </c>
      <c r="G12" s="22" t="s">
        <v>119</v>
      </c>
      <c r="H12" s="22" t="s">
        <v>120</v>
      </c>
      <c r="I12" s="26">
        <v>42.8</v>
      </c>
      <c r="J12" s="33">
        <f>IF(G12="","",IFERROR(VLOOKUP(G12,Kategorien!$A$2:$E$23,3,FALSE),0))</f>
        <v>7.0000000000000007E-2</v>
      </c>
      <c r="K12" s="34">
        <f t="shared" si="0"/>
        <v>40</v>
      </c>
      <c r="L12" s="34">
        <f t="shared" si="1"/>
        <v>2.8</v>
      </c>
      <c r="M12" s="33">
        <f>IF(G12="","",IFERROR(VLOOKUP(G12,Kategorien!$A$2:$E$23,4,FALSE),1))</f>
        <v>1</v>
      </c>
      <c r="N12" s="34">
        <f t="shared" si="2"/>
        <v>-40</v>
      </c>
      <c r="O12" s="34">
        <f t="shared" si="3"/>
        <v>-42.8</v>
      </c>
      <c r="P12" s="29">
        <f t="shared" si="4"/>
        <v>3</v>
      </c>
      <c r="Q12" s="29" t="str">
        <f t="shared" si="5"/>
        <v>Q1</v>
      </c>
      <c r="R12" s="29">
        <f t="shared" si="6"/>
        <v>2026</v>
      </c>
      <c r="S12" s="34">
        <f t="shared" si="7"/>
        <v>0</v>
      </c>
      <c r="T12" s="34">
        <f t="shared" si="8"/>
        <v>2.8</v>
      </c>
      <c r="U12" s="38" t="str">
        <f t="shared" si="9"/>
        <v/>
      </c>
      <c r="V12" s="49" t="str">
        <f>IF(G12="","",IFERROR(VLOOKUP(G12,Kategorien!$A$2:$E$23,5,FALSE),""))</f>
        <v>Fachliteratur</v>
      </c>
    </row>
    <row r="13" spans="1:22" x14ac:dyDescent="0.25">
      <c r="A13" s="21">
        <v>46109</v>
      </c>
      <c r="B13" s="22" t="s">
        <v>121</v>
      </c>
      <c r="C13" s="29" t="str">
        <f>IF(G13="","",IFERROR(VLOOKUP(G13,Kategorien!$A$2:$E$23,2,FALSE),"Kategorie prüfen"))</f>
        <v>Steuerzahlung</v>
      </c>
      <c r="D13" s="22" t="s">
        <v>73</v>
      </c>
      <c r="E13" s="22" t="s">
        <v>122</v>
      </c>
      <c r="F13" s="22" t="s">
        <v>123</v>
      </c>
      <c r="G13" s="22" t="s">
        <v>124</v>
      </c>
      <c r="H13" s="22" t="s">
        <v>77</v>
      </c>
      <c r="I13" s="26">
        <v>705</v>
      </c>
      <c r="J13" s="33">
        <f>IF(G13="","",IFERROR(VLOOKUP(G13,Kategorien!$A$2:$E$23,3,FALSE),0))</f>
        <v>0</v>
      </c>
      <c r="K13" s="34">
        <f t="shared" si="0"/>
        <v>705</v>
      </c>
      <c r="L13" s="34">
        <f t="shared" si="1"/>
        <v>0</v>
      </c>
      <c r="M13" s="33">
        <f>IF(G13="","",IFERROR(VLOOKUP(G13,Kategorien!$A$2:$E$23,4,FALSE),1))</f>
        <v>1</v>
      </c>
      <c r="N13" s="34">
        <f t="shared" si="2"/>
        <v>0</v>
      </c>
      <c r="O13" s="34">
        <f t="shared" si="3"/>
        <v>-705</v>
      </c>
      <c r="P13" s="29">
        <f t="shared" si="4"/>
        <v>3</v>
      </c>
      <c r="Q13" s="29" t="str">
        <f t="shared" si="5"/>
        <v>Q1</v>
      </c>
      <c r="R13" s="29">
        <f t="shared" si="6"/>
        <v>2026</v>
      </c>
      <c r="S13" s="34">
        <f t="shared" si="7"/>
        <v>0</v>
      </c>
      <c r="T13" s="34">
        <f t="shared" si="8"/>
        <v>0</v>
      </c>
      <c r="U13" s="38" t="str">
        <f t="shared" si="9"/>
        <v/>
      </c>
      <c r="V13" s="49" t="str">
        <f>IF(G13="","",IFERROR(VLOOKUP(G13,Kategorien!$A$2:$E$23,5,FALSE),""))</f>
        <v>Steuerzahlungen</v>
      </c>
    </row>
    <row r="14" spans="1:22" x14ac:dyDescent="0.25">
      <c r="A14" s="21">
        <v>46115</v>
      </c>
      <c r="B14" s="22" t="s">
        <v>125</v>
      </c>
      <c r="C14" s="29" t="str">
        <f>IF(G14="","",IFERROR(VLOOKUP(G14,Kategorien!$A$2:$E$23,2,FALSE),"Kategorie prüfen"))</f>
        <v>Einnahme</v>
      </c>
      <c r="D14" s="22" t="s">
        <v>73</v>
      </c>
      <c r="E14" s="22" t="s">
        <v>126</v>
      </c>
      <c r="F14" s="22" t="s">
        <v>127</v>
      </c>
      <c r="G14" s="22" t="s">
        <v>91</v>
      </c>
      <c r="H14" s="22" t="s">
        <v>77</v>
      </c>
      <c r="I14" s="26">
        <v>3094</v>
      </c>
      <c r="J14" s="33">
        <f>IF(G14="","",IFERROR(VLOOKUP(G14,Kategorien!$A$2:$E$23,3,FALSE),0))</f>
        <v>0.19</v>
      </c>
      <c r="K14" s="34">
        <f t="shared" si="0"/>
        <v>2600</v>
      </c>
      <c r="L14" s="34">
        <f t="shared" si="1"/>
        <v>494</v>
      </c>
      <c r="M14" s="33">
        <f>IF(G14="","",IFERROR(VLOOKUP(G14,Kategorien!$A$2:$E$23,4,FALSE),1))</f>
        <v>1</v>
      </c>
      <c r="N14" s="34">
        <f t="shared" si="2"/>
        <v>2600</v>
      </c>
      <c r="O14" s="34">
        <f t="shared" si="3"/>
        <v>3094</v>
      </c>
      <c r="P14" s="29">
        <f t="shared" si="4"/>
        <v>4</v>
      </c>
      <c r="Q14" s="29" t="str">
        <f t="shared" si="5"/>
        <v>Q2</v>
      </c>
      <c r="R14" s="29">
        <f t="shared" si="6"/>
        <v>2026</v>
      </c>
      <c r="S14" s="34">
        <f t="shared" si="7"/>
        <v>494</v>
      </c>
      <c r="T14" s="34">
        <f t="shared" si="8"/>
        <v>0</v>
      </c>
      <c r="U14" s="38" t="str">
        <f t="shared" si="9"/>
        <v/>
      </c>
      <c r="V14" s="49" t="str">
        <f>IF(G14="","",IFERROR(VLOOKUP(G14,Kategorien!$A$2:$E$23,5,FALSE),""))</f>
        <v>Betriebseinnahmen</v>
      </c>
    </row>
    <row r="15" spans="1:22" x14ac:dyDescent="0.25">
      <c r="A15" s="21">
        <v>46121</v>
      </c>
      <c r="B15" s="22" t="s">
        <v>128</v>
      </c>
      <c r="C15" s="29" t="str">
        <f>IF(G15="","",IFERROR(VLOOKUP(G15,Kategorien!$A$2:$E$23,2,FALSE),"Kategorie prüfen"))</f>
        <v>Ausgabe</v>
      </c>
      <c r="D15" s="22" t="s">
        <v>73</v>
      </c>
      <c r="E15" s="22" t="s">
        <v>129</v>
      </c>
      <c r="F15" s="22" t="s">
        <v>130</v>
      </c>
      <c r="G15" s="22" t="s">
        <v>131</v>
      </c>
      <c r="H15" s="22" t="s">
        <v>96</v>
      </c>
      <c r="I15" s="26">
        <v>38</v>
      </c>
      <c r="J15" s="33">
        <f>IF(G15="","",IFERROR(VLOOKUP(G15,Kategorien!$A$2:$E$23,3,FALSE),0))</f>
        <v>0</v>
      </c>
      <c r="K15" s="34">
        <f t="shared" si="0"/>
        <v>38</v>
      </c>
      <c r="L15" s="34">
        <f t="shared" si="1"/>
        <v>0</v>
      </c>
      <c r="M15" s="33">
        <f>IF(G15="","",IFERROR(VLOOKUP(G15,Kategorien!$A$2:$E$23,4,FALSE),1))</f>
        <v>1</v>
      </c>
      <c r="N15" s="34">
        <f t="shared" si="2"/>
        <v>-38</v>
      </c>
      <c r="O15" s="34">
        <f t="shared" si="3"/>
        <v>-38</v>
      </c>
      <c r="P15" s="29">
        <f t="shared" si="4"/>
        <v>4</v>
      </c>
      <c r="Q15" s="29" t="str">
        <f t="shared" si="5"/>
        <v>Q2</v>
      </c>
      <c r="R15" s="29">
        <f t="shared" si="6"/>
        <v>2026</v>
      </c>
      <c r="S15" s="34">
        <f t="shared" si="7"/>
        <v>0</v>
      </c>
      <c r="T15" s="34">
        <f t="shared" si="8"/>
        <v>0</v>
      </c>
      <c r="U15" s="38" t="str">
        <f t="shared" si="9"/>
        <v/>
      </c>
      <c r="V15" s="49" t="str">
        <f>IF(G15="","",IFERROR(VLOOKUP(G15,Kategorien!$A$2:$E$23,5,FALSE),""))</f>
        <v>Versicherungen</v>
      </c>
    </row>
    <row r="16" spans="1:22" x14ac:dyDescent="0.25">
      <c r="A16" s="21">
        <v>46131</v>
      </c>
      <c r="B16" s="22" t="s">
        <v>132</v>
      </c>
      <c r="C16" s="29" t="str">
        <f>IF(G16="","",IFERROR(VLOOKUP(G16,Kategorien!$A$2:$E$23,2,FALSE),"Kategorie prüfen"))</f>
        <v>Ausgabe</v>
      </c>
      <c r="D16" s="22" t="s">
        <v>73</v>
      </c>
      <c r="E16" s="22" t="s">
        <v>133</v>
      </c>
      <c r="F16" s="22" t="s">
        <v>134</v>
      </c>
      <c r="G16" s="22" t="s">
        <v>135</v>
      </c>
      <c r="H16" s="22" t="s">
        <v>77</v>
      </c>
      <c r="I16" s="26">
        <v>535.5</v>
      </c>
      <c r="J16" s="33">
        <f>IF(G16="","",IFERROR(VLOOKUP(G16,Kategorien!$A$2:$E$23,3,FALSE),0))</f>
        <v>0.19</v>
      </c>
      <c r="K16" s="34">
        <f t="shared" si="0"/>
        <v>450</v>
      </c>
      <c r="L16" s="34">
        <f t="shared" si="1"/>
        <v>85.5</v>
      </c>
      <c r="M16" s="33">
        <f>IF(G16="","",IFERROR(VLOOKUP(G16,Kategorien!$A$2:$E$23,4,FALSE),1))</f>
        <v>1</v>
      </c>
      <c r="N16" s="34">
        <f t="shared" si="2"/>
        <v>-450</v>
      </c>
      <c r="O16" s="34">
        <f t="shared" si="3"/>
        <v>-535.5</v>
      </c>
      <c r="P16" s="29">
        <f t="shared" si="4"/>
        <v>4</v>
      </c>
      <c r="Q16" s="29" t="str">
        <f t="shared" si="5"/>
        <v>Q2</v>
      </c>
      <c r="R16" s="29">
        <f t="shared" si="6"/>
        <v>2026</v>
      </c>
      <c r="S16" s="34">
        <f t="shared" si="7"/>
        <v>0</v>
      </c>
      <c r="T16" s="34">
        <f t="shared" si="8"/>
        <v>85.5</v>
      </c>
      <c r="U16" s="38" t="str">
        <f t="shared" si="9"/>
        <v/>
      </c>
      <c r="V16" s="49" t="str">
        <f>IF(G16="","",IFERROR(VLOOKUP(G16,Kategorien!$A$2:$E$23,5,FALSE),""))</f>
        <v>Fortbildung</v>
      </c>
    </row>
    <row r="17" spans="1:22" x14ac:dyDescent="0.25">
      <c r="A17" s="21">
        <v>46144</v>
      </c>
      <c r="B17" s="22" t="s">
        <v>136</v>
      </c>
      <c r="C17" s="29" t="str">
        <f>IF(G17="","",IFERROR(VLOOKUP(G17,Kategorien!$A$2:$E$23,2,FALSE),"Kategorie prüfen"))</f>
        <v>Einnahme</v>
      </c>
      <c r="D17" s="22" t="s">
        <v>73</v>
      </c>
      <c r="E17" s="22" t="s">
        <v>137</v>
      </c>
      <c r="F17" s="22" t="s">
        <v>138</v>
      </c>
      <c r="G17" s="22" t="s">
        <v>139</v>
      </c>
      <c r="H17" s="22" t="s">
        <v>77</v>
      </c>
      <c r="I17" s="26">
        <v>600</v>
      </c>
      <c r="J17" s="33">
        <f>IF(G17="","",IFERROR(VLOOKUP(G17,Kategorien!$A$2:$E$23,3,FALSE),0))</f>
        <v>0</v>
      </c>
      <c r="K17" s="34">
        <f t="shared" si="0"/>
        <v>600</v>
      </c>
      <c r="L17" s="34">
        <f t="shared" si="1"/>
        <v>0</v>
      </c>
      <c r="M17" s="33">
        <f>IF(G17="","",IFERROR(VLOOKUP(G17,Kategorien!$A$2:$E$23,4,FALSE),1))</f>
        <v>1</v>
      </c>
      <c r="N17" s="34">
        <f t="shared" si="2"/>
        <v>600</v>
      </c>
      <c r="O17" s="34">
        <f t="shared" si="3"/>
        <v>600</v>
      </c>
      <c r="P17" s="29">
        <f t="shared" si="4"/>
        <v>5</v>
      </c>
      <c r="Q17" s="29" t="str">
        <f t="shared" si="5"/>
        <v>Q2</v>
      </c>
      <c r="R17" s="29">
        <f t="shared" si="6"/>
        <v>2026</v>
      </c>
      <c r="S17" s="34">
        <f t="shared" si="7"/>
        <v>0</v>
      </c>
      <c r="T17" s="34">
        <f t="shared" si="8"/>
        <v>0</v>
      </c>
      <c r="U17" s="38" t="str">
        <f t="shared" si="9"/>
        <v/>
      </c>
      <c r="V17" s="49" t="str">
        <f>IF(G17="","",IFERROR(VLOOKUP(G17,Kategorien!$A$2:$E$23,5,FALSE),""))</f>
        <v>Betriebseinnahmen steuerfrei</v>
      </c>
    </row>
    <row r="18" spans="1:22" x14ac:dyDescent="0.25">
      <c r="A18" s="21">
        <v>46148</v>
      </c>
      <c r="B18" s="22" t="s">
        <v>140</v>
      </c>
      <c r="C18" s="29" t="str">
        <f>IF(G18="","",IFERROR(VLOOKUP(G18,Kategorien!$A$2:$E$23,2,FALSE),"Kategorie prüfen"))</f>
        <v>Ausgabe</v>
      </c>
      <c r="D18" s="22" t="s">
        <v>73</v>
      </c>
      <c r="E18" s="22" t="s">
        <v>141</v>
      </c>
      <c r="F18" s="22" t="s">
        <v>142</v>
      </c>
      <c r="G18" s="22" t="s">
        <v>143</v>
      </c>
      <c r="H18" s="22" t="s">
        <v>82</v>
      </c>
      <c r="I18" s="26">
        <v>249</v>
      </c>
      <c r="J18" s="33">
        <f>IF(G18="","",IFERROR(VLOOKUP(G18,Kategorien!$A$2:$E$23,3,FALSE),0))</f>
        <v>0.19</v>
      </c>
      <c r="K18" s="34">
        <f t="shared" si="0"/>
        <v>209.24</v>
      </c>
      <c r="L18" s="34">
        <f t="shared" si="1"/>
        <v>39.76</v>
      </c>
      <c r="M18" s="33">
        <f>IF(G18="","",IFERROR(VLOOKUP(G18,Kategorien!$A$2:$E$23,4,FALSE),1))</f>
        <v>1</v>
      </c>
      <c r="N18" s="34">
        <f t="shared" si="2"/>
        <v>-209.24</v>
      </c>
      <c r="O18" s="34">
        <f t="shared" si="3"/>
        <v>-249</v>
      </c>
      <c r="P18" s="29">
        <f t="shared" si="4"/>
        <v>5</v>
      </c>
      <c r="Q18" s="29" t="str">
        <f t="shared" si="5"/>
        <v>Q2</v>
      </c>
      <c r="R18" s="29">
        <f t="shared" si="6"/>
        <v>2026</v>
      </c>
      <c r="S18" s="34">
        <f t="shared" si="7"/>
        <v>0</v>
      </c>
      <c r="T18" s="34">
        <f t="shared" si="8"/>
        <v>39.76</v>
      </c>
      <c r="U18" s="38" t="str">
        <f t="shared" si="9"/>
        <v/>
      </c>
      <c r="V18" s="49" t="str">
        <f>IF(G18="","",IFERROR(VLOOKUP(G18,Kategorien!$A$2:$E$23,5,FALSE),""))</f>
        <v>Arbeitsmittel</v>
      </c>
    </row>
    <row r="19" spans="1:22" x14ac:dyDescent="0.25">
      <c r="A19" s="21">
        <v>46153</v>
      </c>
      <c r="B19" s="22" t="s">
        <v>144</v>
      </c>
      <c r="C19" s="29" t="str">
        <f>IF(G19="","",IFERROR(VLOOKUP(G19,Kategorien!$A$2:$E$23,2,FALSE),"Kategorie prüfen"))</f>
        <v>Einnahme</v>
      </c>
      <c r="D19" s="22" t="s">
        <v>88</v>
      </c>
      <c r="E19" s="22" t="s">
        <v>145</v>
      </c>
      <c r="F19" s="22" t="s">
        <v>146</v>
      </c>
      <c r="G19" s="22" t="s">
        <v>76</v>
      </c>
      <c r="H19" s="22" t="s">
        <v>77</v>
      </c>
      <c r="I19" s="26">
        <v>1785</v>
      </c>
      <c r="J19" s="33">
        <f>IF(G19="","",IFERROR(VLOOKUP(G19,Kategorien!$A$2:$E$23,3,FALSE),0))</f>
        <v>0.19</v>
      </c>
      <c r="K19" s="34">
        <f t="shared" si="0"/>
        <v>1500</v>
      </c>
      <c r="L19" s="34">
        <f t="shared" si="1"/>
        <v>285</v>
      </c>
      <c r="M19" s="33">
        <f>IF(G19="","",IFERROR(VLOOKUP(G19,Kategorien!$A$2:$E$23,4,FALSE),1))</f>
        <v>1</v>
      </c>
      <c r="N19" s="34">
        <f t="shared" si="2"/>
        <v>1500</v>
      </c>
      <c r="O19" s="34">
        <f t="shared" si="3"/>
        <v>0</v>
      </c>
      <c r="P19" s="29">
        <f t="shared" si="4"/>
        <v>5</v>
      </c>
      <c r="Q19" s="29" t="str">
        <f t="shared" si="5"/>
        <v>Q2</v>
      </c>
      <c r="R19" s="29">
        <f t="shared" si="6"/>
        <v>2026</v>
      </c>
      <c r="S19" s="34">
        <f t="shared" si="7"/>
        <v>0</v>
      </c>
      <c r="T19" s="34">
        <f t="shared" si="8"/>
        <v>0</v>
      </c>
      <c r="U19" s="38" t="str">
        <f t="shared" si="9"/>
        <v/>
      </c>
      <c r="V19" s="49" t="str">
        <f>IF(G19="","",IFERROR(VLOOKUP(G19,Kategorien!$A$2:$E$23,5,FALSE),""))</f>
        <v>Betriebseinnahmen</v>
      </c>
    </row>
    <row r="20" spans="1:22" x14ac:dyDescent="0.25">
      <c r="A20" s="21">
        <v>46162</v>
      </c>
      <c r="B20" s="22" t="s">
        <v>147</v>
      </c>
      <c r="C20" s="29" t="str">
        <f>IF(G20="","",IFERROR(VLOOKUP(G20,Kategorien!$A$2:$E$23,2,FALSE),"Kategorie prüfen"))</f>
        <v>Privateinlage</v>
      </c>
      <c r="D20" s="22" t="s">
        <v>73</v>
      </c>
      <c r="E20" s="22" t="s">
        <v>148</v>
      </c>
      <c r="F20" s="22" t="s">
        <v>149</v>
      </c>
      <c r="G20" s="22" t="s">
        <v>150</v>
      </c>
      <c r="H20" s="22" t="s">
        <v>77</v>
      </c>
      <c r="I20" s="26">
        <v>1000</v>
      </c>
      <c r="J20" s="33">
        <f>IF(G20="","",IFERROR(VLOOKUP(G20,Kategorien!$A$2:$E$23,3,FALSE),0))</f>
        <v>0</v>
      </c>
      <c r="K20" s="34">
        <f t="shared" si="0"/>
        <v>1000</v>
      </c>
      <c r="L20" s="34">
        <f t="shared" si="1"/>
        <v>0</v>
      </c>
      <c r="M20" s="33">
        <f>IF(G20="","",IFERROR(VLOOKUP(G20,Kategorien!$A$2:$E$23,4,FALSE),1))</f>
        <v>0</v>
      </c>
      <c r="N20" s="34">
        <f t="shared" si="2"/>
        <v>0</v>
      </c>
      <c r="O20" s="34">
        <f t="shared" si="3"/>
        <v>1000</v>
      </c>
      <c r="P20" s="29">
        <f t="shared" si="4"/>
        <v>5</v>
      </c>
      <c r="Q20" s="29" t="str">
        <f t="shared" si="5"/>
        <v>Q2</v>
      </c>
      <c r="R20" s="29">
        <f t="shared" si="6"/>
        <v>2026</v>
      </c>
      <c r="S20" s="34">
        <f t="shared" si="7"/>
        <v>0</v>
      </c>
      <c r="T20" s="34">
        <f t="shared" si="8"/>
        <v>0</v>
      </c>
      <c r="U20" s="38" t="str">
        <f t="shared" si="9"/>
        <v/>
      </c>
      <c r="V20" s="49" t="str">
        <f>IF(G20="","",IFERROR(VLOOKUP(G20,Kategorien!$A$2:$E$23,5,FALSE),""))</f>
        <v>Privat / nicht EÜR</v>
      </c>
    </row>
    <row r="21" spans="1:22" x14ac:dyDescent="0.25">
      <c r="A21" s="21">
        <v>46177</v>
      </c>
      <c r="B21" s="22" t="s">
        <v>151</v>
      </c>
      <c r="C21" s="29" t="str">
        <f>IF(G21="","",IFERROR(VLOOKUP(G21,Kategorien!$A$2:$E$23,2,FALSE),"Kategorie prüfen"))</f>
        <v>Ausgabe</v>
      </c>
      <c r="D21" s="22" t="s">
        <v>73</v>
      </c>
      <c r="E21" s="22" t="s">
        <v>152</v>
      </c>
      <c r="F21" s="22" t="s">
        <v>153</v>
      </c>
      <c r="G21" s="22" t="s">
        <v>154</v>
      </c>
      <c r="H21" s="22" t="s">
        <v>77</v>
      </c>
      <c r="I21" s="26">
        <v>321.3</v>
      </c>
      <c r="J21" s="33">
        <f>IF(G21="","",IFERROR(VLOOKUP(G21,Kategorien!$A$2:$E$23,3,FALSE),0))</f>
        <v>0.19</v>
      </c>
      <c r="K21" s="34">
        <f t="shared" si="0"/>
        <v>270</v>
      </c>
      <c r="L21" s="34">
        <f t="shared" si="1"/>
        <v>51.3</v>
      </c>
      <c r="M21" s="33">
        <f>IF(G21="","",IFERROR(VLOOKUP(G21,Kategorien!$A$2:$E$23,4,FALSE),1))</f>
        <v>1</v>
      </c>
      <c r="N21" s="34">
        <f t="shared" si="2"/>
        <v>-270</v>
      </c>
      <c r="O21" s="34">
        <f t="shared" si="3"/>
        <v>-321.3</v>
      </c>
      <c r="P21" s="29">
        <f t="shared" si="4"/>
        <v>6</v>
      </c>
      <c r="Q21" s="29" t="str">
        <f t="shared" si="5"/>
        <v>Q2</v>
      </c>
      <c r="R21" s="29">
        <f t="shared" si="6"/>
        <v>2026</v>
      </c>
      <c r="S21" s="34">
        <f t="shared" si="7"/>
        <v>0</v>
      </c>
      <c r="T21" s="34">
        <f t="shared" si="8"/>
        <v>51.3</v>
      </c>
      <c r="U21" s="38" t="str">
        <f t="shared" si="9"/>
        <v/>
      </c>
      <c r="V21" s="49" t="str">
        <f>IF(G21="","",IFERROR(VLOOKUP(G21,Kategorien!$A$2:$E$23,5,FALSE),""))</f>
        <v>Steuerberatung</v>
      </c>
    </row>
    <row r="22" spans="1:22" x14ac:dyDescent="0.25">
      <c r="A22" s="21">
        <v>46181</v>
      </c>
      <c r="B22" s="22" t="s">
        <v>155</v>
      </c>
      <c r="C22" s="29" t="str">
        <f>IF(G22="","",IFERROR(VLOOKUP(G22,Kategorien!$A$2:$E$23,2,FALSE),"Kategorie prüfen"))</f>
        <v>Einnahme</v>
      </c>
      <c r="D22" s="22" t="s">
        <v>73</v>
      </c>
      <c r="E22" s="22" t="s">
        <v>156</v>
      </c>
      <c r="F22" s="22" t="s">
        <v>157</v>
      </c>
      <c r="G22" s="22" t="s">
        <v>158</v>
      </c>
      <c r="H22" s="22" t="s">
        <v>120</v>
      </c>
      <c r="I22" s="26">
        <v>714</v>
      </c>
      <c r="J22" s="33">
        <f>IF(G22="","",IFERROR(VLOOKUP(G22,Kategorien!$A$2:$E$23,3,FALSE),0))</f>
        <v>0.19</v>
      </c>
      <c r="K22" s="34">
        <f t="shared" si="0"/>
        <v>600</v>
      </c>
      <c r="L22" s="34">
        <f t="shared" si="1"/>
        <v>114</v>
      </c>
      <c r="M22" s="33">
        <f>IF(G22="","",IFERROR(VLOOKUP(G22,Kategorien!$A$2:$E$23,4,FALSE),1))</f>
        <v>1</v>
      </c>
      <c r="N22" s="34">
        <f t="shared" si="2"/>
        <v>600</v>
      </c>
      <c r="O22" s="34">
        <f t="shared" si="3"/>
        <v>714</v>
      </c>
      <c r="P22" s="29">
        <f t="shared" si="4"/>
        <v>6</v>
      </c>
      <c r="Q22" s="29" t="str">
        <f t="shared" si="5"/>
        <v>Q2</v>
      </c>
      <c r="R22" s="29">
        <f t="shared" si="6"/>
        <v>2026</v>
      </c>
      <c r="S22" s="34">
        <f t="shared" si="7"/>
        <v>114</v>
      </c>
      <c r="T22" s="34">
        <f t="shared" si="8"/>
        <v>0</v>
      </c>
      <c r="U22" s="38" t="str">
        <f t="shared" si="9"/>
        <v/>
      </c>
      <c r="V22" s="49" t="str">
        <f>IF(G22="","",IFERROR(VLOOKUP(G22,Kategorien!$A$2:$E$23,5,FALSE),""))</f>
        <v>Betriebseinnahmen</v>
      </c>
    </row>
    <row r="23" spans="1:22" x14ac:dyDescent="0.25">
      <c r="A23" s="21">
        <v>46188</v>
      </c>
      <c r="B23" s="22" t="s">
        <v>159</v>
      </c>
      <c r="C23" s="29" t="str">
        <f>IF(G23="","",IFERROR(VLOOKUP(G23,Kategorien!$A$2:$E$23,2,FALSE),"Kategorie prüfen"))</f>
        <v>Ausgabe</v>
      </c>
      <c r="D23" s="22" t="s">
        <v>73</v>
      </c>
      <c r="E23" s="22" t="s">
        <v>160</v>
      </c>
      <c r="F23" s="22" t="s">
        <v>161</v>
      </c>
      <c r="G23" s="22" t="s">
        <v>162</v>
      </c>
      <c r="H23" s="22" t="s">
        <v>82</v>
      </c>
      <c r="I23" s="26">
        <v>128.4</v>
      </c>
      <c r="J23" s="33">
        <f>IF(G23="","",IFERROR(VLOOKUP(G23,Kategorien!$A$2:$E$23,3,FALSE),0))</f>
        <v>7.0000000000000007E-2</v>
      </c>
      <c r="K23" s="34">
        <f t="shared" si="0"/>
        <v>120</v>
      </c>
      <c r="L23" s="34">
        <f t="shared" si="1"/>
        <v>8.4</v>
      </c>
      <c r="M23" s="33">
        <f>IF(G23="","",IFERROR(VLOOKUP(G23,Kategorien!$A$2:$E$23,4,FALSE),1))</f>
        <v>1</v>
      </c>
      <c r="N23" s="34">
        <f t="shared" si="2"/>
        <v>-120</v>
      </c>
      <c r="O23" s="34">
        <f t="shared" si="3"/>
        <v>-128.4</v>
      </c>
      <c r="P23" s="29">
        <f t="shared" si="4"/>
        <v>6</v>
      </c>
      <c r="Q23" s="29" t="str">
        <f t="shared" si="5"/>
        <v>Q2</v>
      </c>
      <c r="R23" s="29">
        <f t="shared" si="6"/>
        <v>2026</v>
      </c>
      <c r="S23" s="34">
        <f t="shared" si="7"/>
        <v>0</v>
      </c>
      <c r="T23" s="34">
        <f t="shared" si="8"/>
        <v>8.4</v>
      </c>
      <c r="U23" s="38" t="str">
        <f t="shared" si="9"/>
        <v/>
      </c>
      <c r="V23" s="49" t="str">
        <f>IF(G23="","",IFERROR(VLOOKUP(G23,Kategorien!$A$2:$E$23,5,FALSE),""))</f>
        <v>Reisekosten</v>
      </c>
    </row>
    <row r="24" spans="1:22" x14ac:dyDescent="0.25">
      <c r="A24" s="21">
        <v>46195</v>
      </c>
      <c r="B24" s="22" t="s">
        <v>163</v>
      </c>
      <c r="C24" s="29" t="str">
        <f>IF(G24="","",IFERROR(VLOOKUP(G24,Kategorien!$A$2:$E$23,2,FALSE),"Kategorie prüfen"))</f>
        <v>Privatentnahme</v>
      </c>
      <c r="D24" s="22" t="s">
        <v>73</v>
      </c>
      <c r="E24" s="22" t="s">
        <v>122</v>
      </c>
      <c r="F24" s="22" t="s">
        <v>164</v>
      </c>
      <c r="G24" s="22" t="s">
        <v>165</v>
      </c>
      <c r="H24" s="22" t="s">
        <v>77</v>
      </c>
      <c r="I24" s="26">
        <v>850</v>
      </c>
      <c r="J24" s="33">
        <f>IF(G24="","",IFERROR(VLOOKUP(G24,Kategorien!$A$2:$E$23,3,FALSE),0))</f>
        <v>0</v>
      </c>
      <c r="K24" s="34">
        <f t="shared" si="0"/>
        <v>850</v>
      </c>
      <c r="L24" s="34">
        <f t="shared" si="1"/>
        <v>0</v>
      </c>
      <c r="M24" s="33">
        <f>IF(G24="","",IFERROR(VLOOKUP(G24,Kategorien!$A$2:$E$23,4,FALSE),1))</f>
        <v>0</v>
      </c>
      <c r="N24" s="34">
        <f t="shared" si="2"/>
        <v>0</v>
      </c>
      <c r="O24" s="34">
        <f t="shared" si="3"/>
        <v>-850</v>
      </c>
      <c r="P24" s="29">
        <f t="shared" si="4"/>
        <v>6</v>
      </c>
      <c r="Q24" s="29" t="str">
        <f t="shared" si="5"/>
        <v>Q2</v>
      </c>
      <c r="R24" s="29">
        <f t="shared" si="6"/>
        <v>2026</v>
      </c>
      <c r="S24" s="34">
        <f t="shared" si="7"/>
        <v>0</v>
      </c>
      <c r="T24" s="34">
        <f t="shared" si="8"/>
        <v>0</v>
      </c>
      <c r="U24" s="38" t="str">
        <f t="shared" si="9"/>
        <v/>
      </c>
      <c r="V24" s="49" t="str">
        <f>IF(G24="","",IFERROR(VLOOKUP(G24,Kategorien!$A$2:$E$23,5,FALSE),""))</f>
        <v>Privat / nicht EÜR</v>
      </c>
    </row>
    <row r="25" spans="1:22" x14ac:dyDescent="0.25">
      <c r="A25" s="21">
        <v>46204</v>
      </c>
      <c r="B25" s="22" t="s">
        <v>166</v>
      </c>
      <c r="C25" s="29" t="str">
        <f>IF(G25="","",IFERROR(VLOOKUP(G25,Kategorien!$A$2:$E$23,2,FALSE),"Kategorie prüfen"))</f>
        <v>Ausgabe</v>
      </c>
      <c r="D25" s="22" t="s">
        <v>73</v>
      </c>
      <c r="E25" s="22" t="s">
        <v>167</v>
      </c>
      <c r="F25" s="22" t="s">
        <v>168</v>
      </c>
      <c r="G25" s="22" t="s">
        <v>169</v>
      </c>
      <c r="H25" s="22" t="s">
        <v>77</v>
      </c>
      <c r="I25" s="26">
        <v>9.9</v>
      </c>
      <c r="J25" s="33">
        <f>IF(G25="","",IFERROR(VLOOKUP(G25,Kategorien!$A$2:$E$23,3,FALSE),0))</f>
        <v>0</v>
      </c>
      <c r="K25" s="34">
        <f t="shared" si="0"/>
        <v>9.9</v>
      </c>
      <c r="L25" s="34">
        <f t="shared" si="1"/>
        <v>0</v>
      </c>
      <c r="M25" s="33">
        <f>IF(G25="","",IFERROR(VLOOKUP(G25,Kategorien!$A$2:$E$23,4,FALSE),1))</f>
        <v>1</v>
      </c>
      <c r="N25" s="34">
        <f t="shared" si="2"/>
        <v>-9.9</v>
      </c>
      <c r="O25" s="34">
        <f t="shared" si="3"/>
        <v>-9.9</v>
      </c>
      <c r="P25" s="29">
        <f t="shared" si="4"/>
        <v>7</v>
      </c>
      <c r="Q25" s="29" t="str">
        <f t="shared" si="5"/>
        <v>Q3</v>
      </c>
      <c r="R25" s="29">
        <f t="shared" si="6"/>
        <v>2026</v>
      </c>
      <c r="S25" s="34">
        <f t="shared" si="7"/>
        <v>0</v>
      </c>
      <c r="T25" s="34">
        <f t="shared" si="8"/>
        <v>0</v>
      </c>
      <c r="U25" s="38" t="str">
        <f t="shared" si="9"/>
        <v/>
      </c>
      <c r="V25" s="49" t="str">
        <f>IF(G25="","",IFERROR(VLOOKUP(G25,Kategorien!$A$2:$E$23,5,FALSE),""))</f>
        <v>Gebühren</v>
      </c>
    </row>
    <row r="26" spans="1:22" x14ac:dyDescent="0.25">
      <c r="A26" s="21">
        <v>46211</v>
      </c>
      <c r="B26" s="22" t="s">
        <v>170</v>
      </c>
      <c r="C26" s="29" t="str">
        <f>IF(G26="","",IFERROR(VLOOKUP(G26,Kategorien!$A$2:$E$23,2,FALSE),"Kategorie prüfen"))</f>
        <v>Einnahme</v>
      </c>
      <c r="D26" s="22" t="s">
        <v>73</v>
      </c>
      <c r="E26" s="22" t="s">
        <v>74</v>
      </c>
      <c r="F26" s="22" t="s">
        <v>171</v>
      </c>
      <c r="G26" s="22" t="s">
        <v>76</v>
      </c>
      <c r="H26" s="22" t="s">
        <v>77</v>
      </c>
      <c r="I26" s="26">
        <v>4165</v>
      </c>
      <c r="J26" s="33">
        <f>IF(G26="","",IFERROR(VLOOKUP(G26,Kategorien!$A$2:$E$23,3,FALSE),0))</f>
        <v>0.19</v>
      </c>
      <c r="K26" s="34">
        <f t="shared" si="0"/>
        <v>3500</v>
      </c>
      <c r="L26" s="34">
        <f t="shared" si="1"/>
        <v>665</v>
      </c>
      <c r="M26" s="33">
        <f>IF(G26="","",IFERROR(VLOOKUP(G26,Kategorien!$A$2:$E$23,4,FALSE),1))</f>
        <v>1</v>
      </c>
      <c r="N26" s="34">
        <f t="shared" si="2"/>
        <v>3500</v>
      </c>
      <c r="O26" s="34">
        <f t="shared" si="3"/>
        <v>4165</v>
      </c>
      <c r="P26" s="29">
        <f t="shared" si="4"/>
        <v>7</v>
      </c>
      <c r="Q26" s="29" t="str">
        <f t="shared" si="5"/>
        <v>Q3</v>
      </c>
      <c r="R26" s="29">
        <f t="shared" si="6"/>
        <v>2026</v>
      </c>
      <c r="S26" s="34">
        <f t="shared" si="7"/>
        <v>665</v>
      </c>
      <c r="T26" s="34">
        <f t="shared" si="8"/>
        <v>0</v>
      </c>
      <c r="U26" s="38" t="str">
        <f t="shared" si="9"/>
        <v/>
      </c>
      <c r="V26" s="49" t="str">
        <f>IF(G26="","",IFERROR(VLOOKUP(G26,Kategorien!$A$2:$E$23,5,FALSE),""))</f>
        <v>Betriebseinnahmen</v>
      </c>
    </row>
    <row r="27" spans="1:22" x14ac:dyDescent="0.25">
      <c r="A27" s="21"/>
      <c r="B27" s="22"/>
      <c r="C27" s="29" t="str">
        <f>IF(G27="","",IFERROR(VLOOKUP(G27,Kategorien!$A$2:$E$23,2,FALSE),"Kategorie prüfen"))</f>
        <v/>
      </c>
      <c r="D27" s="22"/>
      <c r="E27" s="22"/>
      <c r="F27" s="22"/>
      <c r="G27" s="22"/>
      <c r="H27" s="22"/>
      <c r="I27" s="26"/>
      <c r="J27" s="33" t="str">
        <f>IF(G27="","",IFERROR(VLOOKUP(G27,Kategorien!$A$2:$E$23,3,FALSE),0))</f>
        <v/>
      </c>
      <c r="K27" s="34" t="str">
        <f t="shared" si="0"/>
        <v/>
      </c>
      <c r="L27" s="34" t="str">
        <f t="shared" si="1"/>
        <v/>
      </c>
      <c r="M27" s="33" t="str">
        <f>IF(G27="","",IFERROR(VLOOKUP(G27,Kategorien!$A$2:$E$23,4,FALSE),1))</f>
        <v/>
      </c>
      <c r="N27" s="34" t="str">
        <f t="shared" si="2"/>
        <v/>
      </c>
      <c r="O27" s="34">
        <f t="shared" si="3"/>
        <v>0</v>
      </c>
      <c r="P27" s="29" t="str">
        <f t="shared" si="4"/>
        <v/>
      </c>
      <c r="Q27" s="29" t="str">
        <f t="shared" si="5"/>
        <v/>
      </c>
      <c r="R27" s="29" t="str">
        <f t="shared" si="6"/>
        <v/>
      </c>
      <c r="S27" s="34">
        <f t="shared" si="7"/>
        <v>0</v>
      </c>
      <c r="T27" s="34">
        <f t="shared" si="8"/>
        <v>0</v>
      </c>
      <c r="U27" s="38" t="str">
        <f t="shared" si="9"/>
        <v/>
      </c>
      <c r="V27" s="49" t="str">
        <f>IF(G27="","",IFERROR(VLOOKUP(G27,Kategorien!$A$2:$E$23,5,FALSE),""))</f>
        <v/>
      </c>
    </row>
    <row r="28" spans="1:22" x14ac:dyDescent="0.25">
      <c r="A28" s="21"/>
      <c r="B28" s="22"/>
      <c r="C28" s="29" t="str">
        <f>IF(G28="","",IFERROR(VLOOKUP(G28,Kategorien!$A$2:$E$23,2,FALSE),"Kategorie prüfen"))</f>
        <v/>
      </c>
      <c r="D28" s="22"/>
      <c r="E28" s="22"/>
      <c r="F28" s="22"/>
      <c r="G28" s="22"/>
      <c r="H28" s="22"/>
      <c r="I28" s="26"/>
      <c r="J28" s="33" t="str">
        <f>IF(G28="","",IFERROR(VLOOKUP(G28,Kategorien!$A$2:$E$23,3,FALSE),0))</f>
        <v/>
      </c>
      <c r="K28" s="34" t="str">
        <f t="shared" si="0"/>
        <v/>
      </c>
      <c r="L28" s="34" t="str">
        <f t="shared" si="1"/>
        <v/>
      </c>
      <c r="M28" s="33" t="str">
        <f>IF(G28="","",IFERROR(VLOOKUP(G28,Kategorien!$A$2:$E$23,4,FALSE),1))</f>
        <v/>
      </c>
      <c r="N28" s="34" t="str">
        <f t="shared" si="2"/>
        <v/>
      </c>
      <c r="O28" s="34">
        <f t="shared" si="3"/>
        <v>0</v>
      </c>
      <c r="P28" s="29" t="str">
        <f t="shared" si="4"/>
        <v/>
      </c>
      <c r="Q28" s="29" t="str">
        <f t="shared" si="5"/>
        <v/>
      </c>
      <c r="R28" s="29" t="str">
        <f t="shared" si="6"/>
        <v/>
      </c>
      <c r="S28" s="34">
        <f t="shared" si="7"/>
        <v>0</v>
      </c>
      <c r="T28" s="34">
        <f t="shared" si="8"/>
        <v>0</v>
      </c>
      <c r="U28" s="38" t="str">
        <f t="shared" si="9"/>
        <v/>
      </c>
      <c r="V28" s="49" t="str">
        <f>IF(G28="","",IFERROR(VLOOKUP(G28,Kategorien!$A$2:$E$23,5,FALSE),""))</f>
        <v/>
      </c>
    </row>
    <row r="29" spans="1:22" x14ac:dyDescent="0.25">
      <c r="A29" s="21"/>
      <c r="B29" s="22"/>
      <c r="C29" s="29" t="str">
        <f>IF(G29="","",IFERROR(VLOOKUP(G29,Kategorien!$A$2:$E$23,2,FALSE),"Kategorie prüfen"))</f>
        <v/>
      </c>
      <c r="D29" s="22"/>
      <c r="E29" s="22"/>
      <c r="F29" s="22"/>
      <c r="G29" s="22"/>
      <c r="H29" s="22"/>
      <c r="I29" s="26"/>
      <c r="J29" s="33" t="str">
        <f>IF(G29="","",IFERROR(VLOOKUP(G29,Kategorien!$A$2:$E$23,3,FALSE),0))</f>
        <v/>
      </c>
      <c r="K29" s="34" t="str">
        <f t="shared" si="0"/>
        <v/>
      </c>
      <c r="L29" s="34" t="str">
        <f t="shared" si="1"/>
        <v/>
      </c>
      <c r="M29" s="33" t="str">
        <f>IF(G29="","",IFERROR(VLOOKUP(G29,Kategorien!$A$2:$E$23,4,FALSE),1))</f>
        <v/>
      </c>
      <c r="N29" s="34" t="str">
        <f t="shared" si="2"/>
        <v/>
      </c>
      <c r="O29" s="34">
        <f t="shared" si="3"/>
        <v>0</v>
      </c>
      <c r="P29" s="29" t="str">
        <f t="shared" si="4"/>
        <v/>
      </c>
      <c r="Q29" s="29" t="str">
        <f t="shared" si="5"/>
        <v/>
      </c>
      <c r="R29" s="29" t="str">
        <f t="shared" si="6"/>
        <v/>
      </c>
      <c r="S29" s="34">
        <f t="shared" si="7"/>
        <v>0</v>
      </c>
      <c r="T29" s="34">
        <f t="shared" si="8"/>
        <v>0</v>
      </c>
      <c r="U29" s="38" t="str">
        <f t="shared" si="9"/>
        <v/>
      </c>
      <c r="V29" s="49" t="str">
        <f>IF(G29="","",IFERROR(VLOOKUP(G29,Kategorien!$A$2:$E$23,5,FALSE),""))</f>
        <v/>
      </c>
    </row>
    <row r="30" spans="1:22" x14ac:dyDescent="0.25">
      <c r="A30" s="21"/>
      <c r="B30" s="22"/>
      <c r="C30" s="29" t="str">
        <f>IF(G30="","",IFERROR(VLOOKUP(G30,Kategorien!$A$2:$E$23,2,FALSE),"Kategorie prüfen"))</f>
        <v/>
      </c>
      <c r="D30" s="22"/>
      <c r="E30" s="22"/>
      <c r="F30" s="22"/>
      <c r="G30" s="22"/>
      <c r="H30" s="22"/>
      <c r="I30" s="26"/>
      <c r="J30" s="33" t="str">
        <f>IF(G30="","",IFERROR(VLOOKUP(G30,Kategorien!$A$2:$E$23,3,FALSE),0))</f>
        <v/>
      </c>
      <c r="K30" s="34" t="str">
        <f t="shared" si="0"/>
        <v/>
      </c>
      <c r="L30" s="34" t="str">
        <f t="shared" si="1"/>
        <v/>
      </c>
      <c r="M30" s="33" t="str">
        <f>IF(G30="","",IFERROR(VLOOKUP(G30,Kategorien!$A$2:$E$23,4,FALSE),1))</f>
        <v/>
      </c>
      <c r="N30" s="34" t="str">
        <f t="shared" si="2"/>
        <v/>
      </c>
      <c r="O30" s="34">
        <f t="shared" si="3"/>
        <v>0</v>
      </c>
      <c r="P30" s="29" t="str">
        <f t="shared" si="4"/>
        <v/>
      </c>
      <c r="Q30" s="29" t="str">
        <f t="shared" si="5"/>
        <v/>
      </c>
      <c r="R30" s="29" t="str">
        <f t="shared" si="6"/>
        <v/>
      </c>
      <c r="S30" s="34">
        <f t="shared" si="7"/>
        <v>0</v>
      </c>
      <c r="T30" s="34">
        <f t="shared" si="8"/>
        <v>0</v>
      </c>
      <c r="U30" s="38" t="str">
        <f t="shared" si="9"/>
        <v/>
      </c>
      <c r="V30" s="49" t="str">
        <f>IF(G30="","",IFERROR(VLOOKUP(G30,Kategorien!$A$2:$E$23,5,FALSE),""))</f>
        <v/>
      </c>
    </row>
    <row r="31" spans="1:22" x14ac:dyDescent="0.25">
      <c r="A31" s="21"/>
      <c r="B31" s="22"/>
      <c r="C31" s="29" t="str">
        <f>IF(G31="","",IFERROR(VLOOKUP(G31,Kategorien!$A$2:$E$23,2,FALSE),"Kategorie prüfen"))</f>
        <v/>
      </c>
      <c r="D31" s="22"/>
      <c r="E31" s="22"/>
      <c r="F31" s="22"/>
      <c r="G31" s="22"/>
      <c r="H31" s="22"/>
      <c r="I31" s="26"/>
      <c r="J31" s="33" t="str">
        <f>IF(G31="","",IFERROR(VLOOKUP(G31,Kategorien!$A$2:$E$23,3,FALSE),0))</f>
        <v/>
      </c>
      <c r="K31" s="34" t="str">
        <f t="shared" si="0"/>
        <v/>
      </c>
      <c r="L31" s="34" t="str">
        <f t="shared" si="1"/>
        <v/>
      </c>
      <c r="M31" s="33" t="str">
        <f>IF(G31="","",IFERROR(VLOOKUP(G31,Kategorien!$A$2:$E$23,4,FALSE),1))</f>
        <v/>
      </c>
      <c r="N31" s="34" t="str">
        <f t="shared" si="2"/>
        <v/>
      </c>
      <c r="O31" s="34">
        <f t="shared" si="3"/>
        <v>0</v>
      </c>
      <c r="P31" s="29" t="str">
        <f t="shared" si="4"/>
        <v/>
      </c>
      <c r="Q31" s="29" t="str">
        <f t="shared" si="5"/>
        <v/>
      </c>
      <c r="R31" s="29" t="str">
        <f t="shared" si="6"/>
        <v/>
      </c>
      <c r="S31" s="34">
        <f t="shared" si="7"/>
        <v>0</v>
      </c>
      <c r="T31" s="34">
        <f t="shared" si="8"/>
        <v>0</v>
      </c>
      <c r="U31" s="38" t="str">
        <f t="shared" si="9"/>
        <v/>
      </c>
      <c r="V31" s="49" t="str">
        <f>IF(G31="","",IFERROR(VLOOKUP(G31,Kategorien!$A$2:$E$23,5,FALSE),""))</f>
        <v/>
      </c>
    </row>
    <row r="32" spans="1:22" x14ac:dyDescent="0.25">
      <c r="A32" s="21"/>
      <c r="B32" s="22"/>
      <c r="C32" s="29" t="str">
        <f>IF(G32="","",IFERROR(VLOOKUP(G32,Kategorien!$A$2:$E$23,2,FALSE),"Kategorie prüfen"))</f>
        <v/>
      </c>
      <c r="D32" s="22"/>
      <c r="E32" s="22"/>
      <c r="F32" s="22"/>
      <c r="G32" s="22"/>
      <c r="H32" s="22"/>
      <c r="I32" s="26"/>
      <c r="J32" s="33" t="str">
        <f>IF(G32="","",IFERROR(VLOOKUP(G32,Kategorien!$A$2:$E$23,3,FALSE),0))</f>
        <v/>
      </c>
      <c r="K32" s="34" t="str">
        <f t="shared" si="0"/>
        <v/>
      </c>
      <c r="L32" s="34" t="str">
        <f t="shared" si="1"/>
        <v/>
      </c>
      <c r="M32" s="33" t="str">
        <f>IF(G32="","",IFERROR(VLOOKUP(G32,Kategorien!$A$2:$E$23,4,FALSE),1))</f>
        <v/>
      </c>
      <c r="N32" s="34" t="str">
        <f t="shared" si="2"/>
        <v/>
      </c>
      <c r="O32" s="34">
        <f t="shared" si="3"/>
        <v>0</v>
      </c>
      <c r="P32" s="29" t="str">
        <f t="shared" si="4"/>
        <v/>
      </c>
      <c r="Q32" s="29" t="str">
        <f t="shared" si="5"/>
        <v/>
      </c>
      <c r="R32" s="29" t="str">
        <f t="shared" si="6"/>
        <v/>
      </c>
      <c r="S32" s="34">
        <f t="shared" si="7"/>
        <v>0</v>
      </c>
      <c r="T32" s="34">
        <f t="shared" si="8"/>
        <v>0</v>
      </c>
      <c r="U32" s="38" t="str">
        <f t="shared" si="9"/>
        <v/>
      </c>
      <c r="V32" s="49" t="str">
        <f>IF(G32="","",IFERROR(VLOOKUP(G32,Kategorien!$A$2:$E$23,5,FALSE),""))</f>
        <v/>
      </c>
    </row>
    <row r="33" spans="1:22" x14ac:dyDescent="0.25">
      <c r="A33" s="21"/>
      <c r="B33" s="22"/>
      <c r="C33" s="29" t="str">
        <f>IF(G33="","",IFERROR(VLOOKUP(G33,Kategorien!$A$2:$E$23,2,FALSE),"Kategorie prüfen"))</f>
        <v/>
      </c>
      <c r="D33" s="22"/>
      <c r="E33" s="22"/>
      <c r="F33" s="22"/>
      <c r="G33" s="22"/>
      <c r="H33" s="22"/>
      <c r="I33" s="26"/>
      <c r="J33" s="33" t="str">
        <f>IF(G33="","",IFERROR(VLOOKUP(G33,Kategorien!$A$2:$E$23,3,FALSE),0))</f>
        <v/>
      </c>
      <c r="K33" s="34" t="str">
        <f t="shared" si="0"/>
        <v/>
      </c>
      <c r="L33" s="34" t="str">
        <f t="shared" si="1"/>
        <v/>
      </c>
      <c r="M33" s="33" t="str">
        <f>IF(G33="","",IFERROR(VLOOKUP(G33,Kategorien!$A$2:$E$23,4,FALSE),1))</f>
        <v/>
      </c>
      <c r="N33" s="34" t="str">
        <f t="shared" si="2"/>
        <v/>
      </c>
      <c r="O33" s="34">
        <f t="shared" si="3"/>
        <v>0</v>
      </c>
      <c r="P33" s="29" t="str">
        <f t="shared" si="4"/>
        <v/>
      </c>
      <c r="Q33" s="29" t="str">
        <f t="shared" si="5"/>
        <v/>
      </c>
      <c r="R33" s="29" t="str">
        <f t="shared" si="6"/>
        <v/>
      </c>
      <c r="S33" s="34">
        <f t="shared" si="7"/>
        <v>0</v>
      </c>
      <c r="T33" s="34">
        <f t="shared" si="8"/>
        <v>0</v>
      </c>
      <c r="U33" s="38" t="str">
        <f t="shared" si="9"/>
        <v/>
      </c>
      <c r="V33" s="49" t="str">
        <f>IF(G33="","",IFERROR(VLOOKUP(G33,Kategorien!$A$2:$E$23,5,FALSE),""))</f>
        <v/>
      </c>
    </row>
    <row r="34" spans="1:22" x14ac:dyDescent="0.25">
      <c r="A34" s="21"/>
      <c r="B34" s="22"/>
      <c r="C34" s="29" t="str">
        <f>IF(G34="","",IFERROR(VLOOKUP(G34,Kategorien!$A$2:$E$23,2,FALSE),"Kategorie prüfen"))</f>
        <v/>
      </c>
      <c r="D34" s="22"/>
      <c r="E34" s="22"/>
      <c r="F34" s="22"/>
      <c r="G34" s="22"/>
      <c r="H34" s="22"/>
      <c r="I34" s="26"/>
      <c r="J34" s="33" t="str">
        <f>IF(G34="","",IFERROR(VLOOKUP(G34,Kategorien!$A$2:$E$23,3,FALSE),0))</f>
        <v/>
      </c>
      <c r="K34" s="34" t="str">
        <f t="shared" ref="K34:K65" si="10">IF(OR(A34="",I34=""),"",ROUND(I34/(1+J34),2))</f>
        <v/>
      </c>
      <c r="L34" s="34" t="str">
        <f t="shared" ref="L34:L65" si="11">IF(K34="","",ROUND(I34-K34,2))</f>
        <v/>
      </c>
      <c r="M34" s="33" t="str">
        <f>IF(G34="","",IFERROR(VLOOKUP(G34,Kategorien!$A$2:$E$23,4,FALSE),1))</f>
        <v/>
      </c>
      <c r="N34" s="34" t="str">
        <f t="shared" ref="N34:N65" si="12">IF(K34="","",IF(C34="Einnahme",K34,IF(C34="Ausgabe",-K34*M34,0)))</f>
        <v/>
      </c>
      <c r="O34" s="34">
        <f t="shared" ref="O34:O65" si="13">IF(OR(D34&lt;&gt;"Bezahlt",I34=""),0,IF(OR(C34="Einnahme",C34="Privateinlage"),I34,IF(OR(C34="Ausgabe",C34="Steuerzahlung",C34="Privatentnahme"),-I34,0)))</f>
        <v>0</v>
      </c>
      <c r="P34" s="29" t="str">
        <f t="shared" ref="P34:P65" si="14">IF(A34="","",MONTH(A34))</f>
        <v/>
      </c>
      <c r="Q34" s="29" t="str">
        <f t="shared" ref="Q34:Q65" si="15">IF(A34="","","Q"&amp;ROUNDUP(MONTH(A34)/3,0))</f>
        <v/>
      </c>
      <c r="R34" s="29" t="str">
        <f t="shared" ref="R34:R65" si="16">IF(A34="","",YEAR(A34))</f>
        <v/>
      </c>
      <c r="S34" s="34">
        <f t="shared" ref="S34:S65" si="17">IF(AND(C34="Einnahme",D34="Bezahlt"),L34,0)</f>
        <v>0</v>
      </c>
      <c r="T34" s="34">
        <f t="shared" ref="T34:T65" si="18">IF(AND(C34="Ausgabe",D34="Bezahlt"),L34*M34,0)</f>
        <v>0</v>
      </c>
      <c r="U34" s="38" t="str">
        <f t="shared" ref="U34:U65" si="19">IF(A34="","",IF(B34="","Beleg-Nr. fehlt",IF(I34&lt;=0,"Betrag prüfen",IF(C34="Kategorie prüfen","Kategorie prüfen",""))))</f>
        <v/>
      </c>
      <c r="V34" s="49" t="str">
        <f>IF(G34="","",IFERROR(VLOOKUP(G34,Kategorien!$A$2:$E$23,5,FALSE),""))</f>
        <v/>
      </c>
    </row>
    <row r="35" spans="1:22" x14ac:dyDescent="0.25">
      <c r="A35" s="21"/>
      <c r="B35" s="22"/>
      <c r="C35" s="29" t="str">
        <f>IF(G35="","",IFERROR(VLOOKUP(G35,Kategorien!$A$2:$E$23,2,FALSE),"Kategorie prüfen"))</f>
        <v/>
      </c>
      <c r="D35" s="22"/>
      <c r="E35" s="22"/>
      <c r="F35" s="22"/>
      <c r="G35" s="22"/>
      <c r="H35" s="22"/>
      <c r="I35" s="26"/>
      <c r="J35" s="33" t="str">
        <f>IF(G35="","",IFERROR(VLOOKUP(G35,Kategorien!$A$2:$E$23,3,FALSE),0))</f>
        <v/>
      </c>
      <c r="K35" s="34" t="str">
        <f t="shared" si="10"/>
        <v/>
      </c>
      <c r="L35" s="34" t="str">
        <f t="shared" si="11"/>
        <v/>
      </c>
      <c r="M35" s="33" t="str">
        <f>IF(G35="","",IFERROR(VLOOKUP(G35,Kategorien!$A$2:$E$23,4,FALSE),1))</f>
        <v/>
      </c>
      <c r="N35" s="34" t="str">
        <f t="shared" si="12"/>
        <v/>
      </c>
      <c r="O35" s="34">
        <f t="shared" si="13"/>
        <v>0</v>
      </c>
      <c r="P35" s="29" t="str">
        <f t="shared" si="14"/>
        <v/>
      </c>
      <c r="Q35" s="29" t="str">
        <f t="shared" si="15"/>
        <v/>
      </c>
      <c r="R35" s="29" t="str">
        <f t="shared" si="16"/>
        <v/>
      </c>
      <c r="S35" s="34">
        <f t="shared" si="17"/>
        <v>0</v>
      </c>
      <c r="T35" s="34">
        <f t="shared" si="18"/>
        <v>0</v>
      </c>
      <c r="U35" s="38" t="str">
        <f t="shared" si="19"/>
        <v/>
      </c>
      <c r="V35" s="49" t="str">
        <f>IF(G35="","",IFERROR(VLOOKUP(G35,Kategorien!$A$2:$E$23,5,FALSE),""))</f>
        <v/>
      </c>
    </row>
    <row r="36" spans="1:22" x14ac:dyDescent="0.25">
      <c r="A36" s="21"/>
      <c r="B36" s="22"/>
      <c r="C36" s="29" t="str">
        <f>IF(G36="","",IFERROR(VLOOKUP(G36,Kategorien!$A$2:$E$23,2,FALSE),"Kategorie prüfen"))</f>
        <v/>
      </c>
      <c r="D36" s="22"/>
      <c r="E36" s="22"/>
      <c r="F36" s="22"/>
      <c r="G36" s="22"/>
      <c r="H36" s="22"/>
      <c r="I36" s="26"/>
      <c r="J36" s="33" t="str">
        <f>IF(G36="","",IFERROR(VLOOKUP(G36,Kategorien!$A$2:$E$23,3,FALSE),0))</f>
        <v/>
      </c>
      <c r="K36" s="34" t="str">
        <f t="shared" si="10"/>
        <v/>
      </c>
      <c r="L36" s="34" t="str">
        <f t="shared" si="11"/>
        <v/>
      </c>
      <c r="M36" s="33" t="str">
        <f>IF(G36="","",IFERROR(VLOOKUP(G36,Kategorien!$A$2:$E$23,4,FALSE),1))</f>
        <v/>
      </c>
      <c r="N36" s="34" t="str">
        <f t="shared" si="12"/>
        <v/>
      </c>
      <c r="O36" s="34">
        <f t="shared" si="13"/>
        <v>0</v>
      </c>
      <c r="P36" s="29" t="str">
        <f t="shared" si="14"/>
        <v/>
      </c>
      <c r="Q36" s="29" t="str">
        <f t="shared" si="15"/>
        <v/>
      </c>
      <c r="R36" s="29" t="str">
        <f t="shared" si="16"/>
        <v/>
      </c>
      <c r="S36" s="34">
        <f t="shared" si="17"/>
        <v>0</v>
      </c>
      <c r="T36" s="34">
        <f t="shared" si="18"/>
        <v>0</v>
      </c>
      <c r="U36" s="38" t="str">
        <f t="shared" si="19"/>
        <v/>
      </c>
      <c r="V36" s="49" t="str">
        <f>IF(G36="","",IFERROR(VLOOKUP(G36,Kategorien!$A$2:$E$23,5,FALSE),""))</f>
        <v/>
      </c>
    </row>
    <row r="37" spans="1:22" x14ac:dyDescent="0.25">
      <c r="A37" s="21"/>
      <c r="B37" s="22"/>
      <c r="C37" s="29" t="str">
        <f>IF(G37="","",IFERROR(VLOOKUP(G37,Kategorien!$A$2:$E$23,2,FALSE),"Kategorie prüfen"))</f>
        <v/>
      </c>
      <c r="D37" s="22"/>
      <c r="E37" s="22"/>
      <c r="F37" s="22"/>
      <c r="G37" s="22"/>
      <c r="H37" s="22"/>
      <c r="I37" s="26"/>
      <c r="J37" s="33" t="str">
        <f>IF(G37="","",IFERROR(VLOOKUP(G37,Kategorien!$A$2:$E$23,3,FALSE),0))</f>
        <v/>
      </c>
      <c r="K37" s="34" t="str">
        <f t="shared" si="10"/>
        <v/>
      </c>
      <c r="L37" s="34" t="str">
        <f t="shared" si="11"/>
        <v/>
      </c>
      <c r="M37" s="33" t="str">
        <f>IF(G37="","",IFERROR(VLOOKUP(G37,Kategorien!$A$2:$E$23,4,FALSE),1))</f>
        <v/>
      </c>
      <c r="N37" s="34" t="str">
        <f t="shared" si="12"/>
        <v/>
      </c>
      <c r="O37" s="34">
        <f t="shared" si="13"/>
        <v>0</v>
      </c>
      <c r="P37" s="29" t="str">
        <f t="shared" si="14"/>
        <v/>
      </c>
      <c r="Q37" s="29" t="str">
        <f t="shared" si="15"/>
        <v/>
      </c>
      <c r="R37" s="29" t="str">
        <f t="shared" si="16"/>
        <v/>
      </c>
      <c r="S37" s="34">
        <f t="shared" si="17"/>
        <v>0</v>
      </c>
      <c r="T37" s="34">
        <f t="shared" si="18"/>
        <v>0</v>
      </c>
      <c r="U37" s="38" t="str">
        <f t="shared" si="19"/>
        <v/>
      </c>
      <c r="V37" s="49" t="str">
        <f>IF(G37="","",IFERROR(VLOOKUP(G37,Kategorien!$A$2:$E$23,5,FALSE),""))</f>
        <v/>
      </c>
    </row>
    <row r="38" spans="1:22" x14ac:dyDescent="0.25">
      <c r="A38" s="21"/>
      <c r="B38" s="22"/>
      <c r="C38" s="29" t="str">
        <f>IF(G38="","",IFERROR(VLOOKUP(G38,Kategorien!$A$2:$E$23,2,FALSE),"Kategorie prüfen"))</f>
        <v/>
      </c>
      <c r="D38" s="22"/>
      <c r="E38" s="22"/>
      <c r="F38" s="22"/>
      <c r="G38" s="22"/>
      <c r="H38" s="22"/>
      <c r="I38" s="26"/>
      <c r="J38" s="33" t="str">
        <f>IF(G38="","",IFERROR(VLOOKUP(G38,Kategorien!$A$2:$E$23,3,FALSE),0))</f>
        <v/>
      </c>
      <c r="K38" s="34" t="str">
        <f t="shared" si="10"/>
        <v/>
      </c>
      <c r="L38" s="34" t="str">
        <f t="shared" si="11"/>
        <v/>
      </c>
      <c r="M38" s="33" t="str">
        <f>IF(G38="","",IFERROR(VLOOKUP(G38,Kategorien!$A$2:$E$23,4,FALSE),1))</f>
        <v/>
      </c>
      <c r="N38" s="34" t="str">
        <f t="shared" si="12"/>
        <v/>
      </c>
      <c r="O38" s="34">
        <f t="shared" si="13"/>
        <v>0</v>
      </c>
      <c r="P38" s="29" t="str">
        <f t="shared" si="14"/>
        <v/>
      </c>
      <c r="Q38" s="29" t="str">
        <f t="shared" si="15"/>
        <v/>
      </c>
      <c r="R38" s="29" t="str">
        <f t="shared" si="16"/>
        <v/>
      </c>
      <c r="S38" s="34">
        <f t="shared" si="17"/>
        <v>0</v>
      </c>
      <c r="T38" s="34">
        <f t="shared" si="18"/>
        <v>0</v>
      </c>
      <c r="U38" s="38" t="str">
        <f t="shared" si="19"/>
        <v/>
      </c>
      <c r="V38" s="49" t="str">
        <f>IF(G38="","",IFERROR(VLOOKUP(G38,Kategorien!$A$2:$E$23,5,FALSE),""))</f>
        <v/>
      </c>
    </row>
    <row r="39" spans="1:22" x14ac:dyDescent="0.25">
      <c r="A39" s="21"/>
      <c r="B39" s="22"/>
      <c r="C39" s="29" t="str">
        <f>IF(G39="","",IFERROR(VLOOKUP(G39,Kategorien!$A$2:$E$23,2,FALSE),"Kategorie prüfen"))</f>
        <v/>
      </c>
      <c r="D39" s="22"/>
      <c r="E39" s="22"/>
      <c r="F39" s="22"/>
      <c r="G39" s="22"/>
      <c r="H39" s="22"/>
      <c r="I39" s="26"/>
      <c r="J39" s="33" t="str">
        <f>IF(G39="","",IFERROR(VLOOKUP(G39,Kategorien!$A$2:$E$23,3,FALSE),0))</f>
        <v/>
      </c>
      <c r="K39" s="34" t="str">
        <f t="shared" si="10"/>
        <v/>
      </c>
      <c r="L39" s="34" t="str">
        <f t="shared" si="11"/>
        <v/>
      </c>
      <c r="M39" s="33" t="str">
        <f>IF(G39="","",IFERROR(VLOOKUP(G39,Kategorien!$A$2:$E$23,4,FALSE),1))</f>
        <v/>
      </c>
      <c r="N39" s="34" t="str">
        <f t="shared" si="12"/>
        <v/>
      </c>
      <c r="O39" s="34">
        <f t="shared" si="13"/>
        <v>0</v>
      </c>
      <c r="P39" s="29" t="str">
        <f t="shared" si="14"/>
        <v/>
      </c>
      <c r="Q39" s="29" t="str">
        <f t="shared" si="15"/>
        <v/>
      </c>
      <c r="R39" s="29" t="str">
        <f t="shared" si="16"/>
        <v/>
      </c>
      <c r="S39" s="34">
        <f t="shared" si="17"/>
        <v>0</v>
      </c>
      <c r="T39" s="34">
        <f t="shared" si="18"/>
        <v>0</v>
      </c>
      <c r="U39" s="38" t="str">
        <f t="shared" si="19"/>
        <v/>
      </c>
      <c r="V39" s="49" t="str">
        <f>IF(G39="","",IFERROR(VLOOKUP(G39,Kategorien!$A$2:$E$23,5,FALSE),""))</f>
        <v/>
      </c>
    </row>
    <row r="40" spans="1:22" x14ac:dyDescent="0.25">
      <c r="A40" s="21"/>
      <c r="B40" s="22"/>
      <c r="C40" s="29" t="str">
        <f>IF(G40="","",IFERROR(VLOOKUP(G40,Kategorien!$A$2:$E$23,2,FALSE),"Kategorie prüfen"))</f>
        <v/>
      </c>
      <c r="D40" s="22"/>
      <c r="E40" s="22"/>
      <c r="F40" s="22"/>
      <c r="G40" s="22"/>
      <c r="H40" s="22"/>
      <c r="I40" s="26"/>
      <c r="J40" s="33" t="str">
        <f>IF(G40="","",IFERROR(VLOOKUP(G40,Kategorien!$A$2:$E$23,3,FALSE),0))</f>
        <v/>
      </c>
      <c r="K40" s="34" t="str">
        <f t="shared" si="10"/>
        <v/>
      </c>
      <c r="L40" s="34" t="str">
        <f t="shared" si="11"/>
        <v/>
      </c>
      <c r="M40" s="33" t="str">
        <f>IF(G40="","",IFERROR(VLOOKUP(G40,Kategorien!$A$2:$E$23,4,FALSE),1))</f>
        <v/>
      </c>
      <c r="N40" s="34" t="str">
        <f t="shared" si="12"/>
        <v/>
      </c>
      <c r="O40" s="34">
        <f t="shared" si="13"/>
        <v>0</v>
      </c>
      <c r="P40" s="29" t="str">
        <f t="shared" si="14"/>
        <v/>
      </c>
      <c r="Q40" s="29" t="str">
        <f t="shared" si="15"/>
        <v/>
      </c>
      <c r="R40" s="29" t="str">
        <f t="shared" si="16"/>
        <v/>
      </c>
      <c r="S40" s="34">
        <f t="shared" si="17"/>
        <v>0</v>
      </c>
      <c r="T40" s="34">
        <f t="shared" si="18"/>
        <v>0</v>
      </c>
      <c r="U40" s="38" t="str">
        <f t="shared" si="19"/>
        <v/>
      </c>
      <c r="V40" s="49" t="str">
        <f>IF(G40="","",IFERROR(VLOOKUP(G40,Kategorien!$A$2:$E$23,5,FALSE),""))</f>
        <v/>
      </c>
    </row>
    <row r="41" spans="1:22" x14ac:dyDescent="0.25">
      <c r="A41" s="21"/>
      <c r="B41" s="22"/>
      <c r="C41" s="29" t="str">
        <f>IF(G41="","",IFERROR(VLOOKUP(G41,Kategorien!$A$2:$E$23,2,FALSE),"Kategorie prüfen"))</f>
        <v/>
      </c>
      <c r="D41" s="22"/>
      <c r="E41" s="22"/>
      <c r="F41" s="22"/>
      <c r="G41" s="22"/>
      <c r="H41" s="22"/>
      <c r="I41" s="26"/>
      <c r="J41" s="33" t="str">
        <f>IF(G41="","",IFERROR(VLOOKUP(G41,Kategorien!$A$2:$E$23,3,FALSE),0))</f>
        <v/>
      </c>
      <c r="K41" s="34" t="str">
        <f t="shared" si="10"/>
        <v/>
      </c>
      <c r="L41" s="34" t="str">
        <f t="shared" si="11"/>
        <v/>
      </c>
      <c r="M41" s="33" t="str">
        <f>IF(G41="","",IFERROR(VLOOKUP(G41,Kategorien!$A$2:$E$23,4,FALSE),1))</f>
        <v/>
      </c>
      <c r="N41" s="34" t="str">
        <f t="shared" si="12"/>
        <v/>
      </c>
      <c r="O41" s="34">
        <f t="shared" si="13"/>
        <v>0</v>
      </c>
      <c r="P41" s="29" t="str">
        <f t="shared" si="14"/>
        <v/>
      </c>
      <c r="Q41" s="29" t="str">
        <f t="shared" si="15"/>
        <v/>
      </c>
      <c r="R41" s="29" t="str">
        <f t="shared" si="16"/>
        <v/>
      </c>
      <c r="S41" s="34">
        <f t="shared" si="17"/>
        <v>0</v>
      </c>
      <c r="T41" s="34">
        <f t="shared" si="18"/>
        <v>0</v>
      </c>
      <c r="U41" s="38" t="str">
        <f t="shared" si="19"/>
        <v/>
      </c>
      <c r="V41" s="49" t="str">
        <f>IF(G41="","",IFERROR(VLOOKUP(G41,Kategorien!$A$2:$E$23,5,FALSE),""))</f>
        <v/>
      </c>
    </row>
    <row r="42" spans="1:22" x14ac:dyDescent="0.25">
      <c r="A42" s="21"/>
      <c r="B42" s="22"/>
      <c r="C42" s="29" t="str">
        <f>IF(G42="","",IFERROR(VLOOKUP(G42,Kategorien!$A$2:$E$23,2,FALSE),"Kategorie prüfen"))</f>
        <v/>
      </c>
      <c r="D42" s="22"/>
      <c r="E42" s="22"/>
      <c r="F42" s="22"/>
      <c r="G42" s="22"/>
      <c r="H42" s="22"/>
      <c r="I42" s="26"/>
      <c r="J42" s="33" t="str">
        <f>IF(G42="","",IFERROR(VLOOKUP(G42,Kategorien!$A$2:$E$23,3,FALSE),0))</f>
        <v/>
      </c>
      <c r="K42" s="34" t="str">
        <f t="shared" si="10"/>
        <v/>
      </c>
      <c r="L42" s="34" t="str">
        <f t="shared" si="11"/>
        <v/>
      </c>
      <c r="M42" s="33" t="str">
        <f>IF(G42="","",IFERROR(VLOOKUP(G42,Kategorien!$A$2:$E$23,4,FALSE),1))</f>
        <v/>
      </c>
      <c r="N42" s="34" t="str">
        <f t="shared" si="12"/>
        <v/>
      </c>
      <c r="O42" s="34">
        <f t="shared" si="13"/>
        <v>0</v>
      </c>
      <c r="P42" s="29" t="str">
        <f t="shared" si="14"/>
        <v/>
      </c>
      <c r="Q42" s="29" t="str">
        <f t="shared" si="15"/>
        <v/>
      </c>
      <c r="R42" s="29" t="str">
        <f t="shared" si="16"/>
        <v/>
      </c>
      <c r="S42" s="34">
        <f t="shared" si="17"/>
        <v>0</v>
      </c>
      <c r="T42" s="34">
        <f t="shared" si="18"/>
        <v>0</v>
      </c>
      <c r="U42" s="38" t="str">
        <f t="shared" si="19"/>
        <v/>
      </c>
      <c r="V42" s="49" t="str">
        <f>IF(G42="","",IFERROR(VLOOKUP(G42,Kategorien!$A$2:$E$23,5,FALSE),""))</f>
        <v/>
      </c>
    </row>
    <row r="43" spans="1:22" x14ac:dyDescent="0.25">
      <c r="A43" s="21"/>
      <c r="B43" s="22"/>
      <c r="C43" s="29" t="str">
        <f>IF(G43="","",IFERROR(VLOOKUP(G43,Kategorien!$A$2:$E$23,2,FALSE),"Kategorie prüfen"))</f>
        <v/>
      </c>
      <c r="D43" s="22"/>
      <c r="E43" s="22"/>
      <c r="F43" s="22"/>
      <c r="G43" s="22"/>
      <c r="H43" s="22"/>
      <c r="I43" s="26"/>
      <c r="J43" s="33" t="str">
        <f>IF(G43="","",IFERROR(VLOOKUP(G43,Kategorien!$A$2:$E$23,3,FALSE),0))</f>
        <v/>
      </c>
      <c r="K43" s="34" t="str">
        <f t="shared" si="10"/>
        <v/>
      </c>
      <c r="L43" s="34" t="str">
        <f t="shared" si="11"/>
        <v/>
      </c>
      <c r="M43" s="33" t="str">
        <f>IF(G43="","",IFERROR(VLOOKUP(G43,Kategorien!$A$2:$E$23,4,FALSE),1))</f>
        <v/>
      </c>
      <c r="N43" s="34" t="str">
        <f t="shared" si="12"/>
        <v/>
      </c>
      <c r="O43" s="34">
        <f t="shared" si="13"/>
        <v>0</v>
      </c>
      <c r="P43" s="29" t="str">
        <f t="shared" si="14"/>
        <v/>
      </c>
      <c r="Q43" s="29" t="str">
        <f t="shared" si="15"/>
        <v/>
      </c>
      <c r="R43" s="29" t="str">
        <f t="shared" si="16"/>
        <v/>
      </c>
      <c r="S43" s="34">
        <f t="shared" si="17"/>
        <v>0</v>
      </c>
      <c r="T43" s="34">
        <f t="shared" si="18"/>
        <v>0</v>
      </c>
      <c r="U43" s="38" t="str">
        <f t="shared" si="19"/>
        <v/>
      </c>
      <c r="V43" s="49" t="str">
        <f>IF(G43="","",IFERROR(VLOOKUP(G43,Kategorien!$A$2:$E$23,5,FALSE),""))</f>
        <v/>
      </c>
    </row>
    <row r="44" spans="1:22" x14ac:dyDescent="0.25">
      <c r="A44" s="21"/>
      <c r="B44" s="22"/>
      <c r="C44" s="29" t="str">
        <f>IF(G44="","",IFERROR(VLOOKUP(G44,Kategorien!$A$2:$E$23,2,FALSE),"Kategorie prüfen"))</f>
        <v/>
      </c>
      <c r="D44" s="22"/>
      <c r="E44" s="22"/>
      <c r="F44" s="22"/>
      <c r="G44" s="22"/>
      <c r="H44" s="22"/>
      <c r="I44" s="26"/>
      <c r="J44" s="33" t="str">
        <f>IF(G44="","",IFERROR(VLOOKUP(G44,Kategorien!$A$2:$E$23,3,FALSE),0))</f>
        <v/>
      </c>
      <c r="K44" s="34" t="str">
        <f t="shared" si="10"/>
        <v/>
      </c>
      <c r="L44" s="34" t="str">
        <f t="shared" si="11"/>
        <v/>
      </c>
      <c r="M44" s="33" t="str">
        <f>IF(G44="","",IFERROR(VLOOKUP(G44,Kategorien!$A$2:$E$23,4,FALSE),1))</f>
        <v/>
      </c>
      <c r="N44" s="34" t="str">
        <f t="shared" si="12"/>
        <v/>
      </c>
      <c r="O44" s="34">
        <f t="shared" si="13"/>
        <v>0</v>
      </c>
      <c r="P44" s="29" t="str">
        <f t="shared" si="14"/>
        <v/>
      </c>
      <c r="Q44" s="29" t="str">
        <f t="shared" si="15"/>
        <v/>
      </c>
      <c r="R44" s="29" t="str">
        <f t="shared" si="16"/>
        <v/>
      </c>
      <c r="S44" s="34">
        <f t="shared" si="17"/>
        <v>0</v>
      </c>
      <c r="T44" s="34">
        <f t="shared" si="18"/>
        <v>0</v>
      </c>
      <c r="U44" s="38" t="str">
        <f t="shared" si="19"/>
        <v/>
      </c>
      <c r="V44" s="49" t="str">
        <f>IF(G44="","",IFERROR(VLOOKUP(G44,Kategorien!$A$2:$E$23,5,FALSE),""))</f>
        <v/>
      </c>
    </row>
    <row r="45" spans="1:22" x14ac:dyDescent="0.25">
      <c r="A45" s="21"/>
      <c r="B45" s="22"/>
      <c r="C45" s="29" t="str">
        <f>IF(G45="","",IFERROR(VLOOKUP(G45,Kategorien!$A$2:$E$23,2,FALSE),"Kategorie prüfen"))</f>
        <v/>
      </c>
      <c r="D45" s="22"/>
      <c r="E45" s="22"/>
      <c r="F45" s="22"/>
      <c r="G45" s="22"/>
      <c r="H45" s="22"/>
      <c r="I45" s="26"/>
      <c r="J45" s="33" t="str">
        <f>IF(G45="","",IFERROR(VLOOKUP(G45,Kategorien!$A$2:$E$23,3,FALSE),0))</f>
        <v/>
      </c>
      <c r="K45" s="34" t="str">
        <f t="shared" si="10"/>
        <v/>
      </c>
      <c r="L45" s="34" t="str">
        <f t="shared" si="11"/>
        <v/>
      </c>
      <c r="M45" s="33" t="str">
        <f>IF(G45="","",IFERROR(VLOOKUP(G45,Kategorien!$A$2:$E$23,4,FALSE),1))</f>
        <v/>
      </c>
      <c r="N45" s="34" t="str">
        <f t="shared" si="12"/>
        <v/>
      </c>
      <c r="O45" s="34">
        <f t="shared" si="13"/>
        <v>0</v>
      </c>
      <c r="P45" s="29" t="str">
        <f t="shared" si="14"/>
        <v/>
      </c>
      <c r="Q45" s="29" t="str">
        <f t="shared" si="15"/>
        <v/>
      </c>
      <c r="R45" s="29" t="str">
        <f t="shared" si="16"/>
        <v/>
      </c>
      <c r="S45" s="34">
        <f t="shared" si="17"/>
        <v>0</v>
      </c>
      <c r="T45" s="34">
        <f t="shared" si="18"/>
        <v>0</v>
      </c>
      <c r="U45" s="38" t="str">
        <f t="shared" si="19"/>
        <v/>
      </c>
      <c r="V45" s="49" t="str">
        <f>IF(G45="","",IFERROR(VLOOKUP(G45,Kategorien!$A$2:$E$23,5,FALSE),""))</f>
        <v/>
      </c>
    </row>
    <row r="46" spans="1:22" x14ac:dyDescent="0.25">
      <c r="A46" s="21"/>
      <c r="B46" s="22"/>
      <c r="C46" s="29" t="str">
        <f>IF(G46="","",IFERROR(VLOOKUP(G46,Kategorien!$A$2:$E$23,2,FALSE),"Kategorie prüfen"))</f>
        <v/>
      </c>
      <c r="D46" s="22"/>
      <c r="E46" s="22"/>
      <c r="F46" s="22"/>
      <c r="G46" s="22"/>
      <c r="H46" s="22"/>
      <c r="I46" s="26"/>
      <c r="J46" s="33" t="str">
        <f>IF(G46="","",IFERROR(VLOOKUP(G46,Kategorien!$A$2:$E$23,3,FALSE),0))</f>
        <v/>
      </c>
      <c r="K46" s="34" t="str">
        <f t="shared" si="10"/>
        <v/>
      </c>
      <c r="L46" s="34" t="str">
        <f t="shared" si="11"/>
        <v/>
      </c>
      <c r="M46" s="33" t="str">
        <f>IF(G46="","",IFERROR(VLOOKUP(G46,Kategorien!$A$2:$E$23,4,FALSE),1))</f>
        <v/>
      </c>
      <c r="N46" s="34" t="str">
        <f t="shared" si="12"/>
        <v/>
      </c>
      <c r="O46" s="34">
        <f t="shared" si="13"/>
        <v>0</v>
      </c>
      <c r="P46" s="29" t="str">
        <f t="shared" si="14"/>
        <v/>
      </c>
      <c r="Q46" s="29" t="str">
        <f t="shared" si="15"/>
        <v/>
      </c>
      <c r="R46" s="29" t="str">
        <f t="shared" si="16"/>
        <v/>
      </c>
      <c r="S46" s="34">
        <f t="shared" si="17"/>
        <v>0</v>
      </c>
      <c r="T46" s="34">
        <f t="shared" si="18"/>
        <v>0</v>
      </c>
      <c r="U46" s="38" t="str">
        <f t="shared" si="19"/>
        <v/>
      </c>
      <c r="V46" s="49" t="str">
        <f>IF(G46="","",IFERROR(VLOOKUP(G46,Kategorien!$A$2:$E$23,5,FALSE),""))</f>
        <v/>
      </c>
    </row>
    <row r="47" spans="1:22" x14ac:dyDescent="0.25">
      <c r="A47" s="21"/>
      <c r="B47" s="22"/>
      <c r="C47" s="29" t="str">
        <f>IF(G47="","",IFERROR(VLOOKUP(G47,Kategorien!$A$2:$E$23,2,FALSE),"Kategorie prüfen"))</f>
        <v/>
      </c>
      <c r="D47" s="22"/>
      <c r="E47" s="22"/>
      <c r="F47" s="22"/>
      <c r="G47" s="22"/>
      <c r="H47" s="22"/>
      <c r="I47" s="26"/>
      <c r="J47" s="33" t="str">
        <f>IF(G47="","",IFERROR(VLOOKUP(G47,Kategorien!$A$2:$E$23,3,FALSE),0))</f>
        <v/>
      </c>
      <c r="K47" s="34" t="str">
        <f t="shared" si="10"/>
        <v/>
      </c>
      <c r="L47" s="34" t="str">
        <f t="shared" si="11"/>
        <v/>
      </c>
      <c r="M47" s="33" t="str">
        <f>IF(G47="","",IFERROR(VLOOKUP(G47,Kategorien!$A$2:$E$23,4,FALSE),1))</f>
        <v/>
      </c>
      <c r="N47" s="34" t="str">
        <f t="shared" si="12"/>
        <v/>
      </c>
      <c r="O47" s="34">
        <f t="shared" si="13"/>
        <v>0</v>
      </c>
      <c r="P47" s="29" t="str">
        <f t="shared" si="14"/>
        <v/>
      </c>
      <c r="Q47" s="29" t="str">
        <f t="shared" si="15"/>
        <v/>
      </c>
      <c r="R47" s="29" t="str">
        <f t="shared" si="16"/>
        <v/>
      </c>
      <c r="S47" s="34">
        <f t="shared" si="17"/>
        <v>0</v>
      </c>
      <c r="T47" s="34">
        <f t="shared" si="18"/>
        <v>0</v>
      </c>
      <c r="U47" s="38" t="str">
        <f t="shared" si="19"/>
        <v/>
      </c>
      <c r="V47" s="49" t="str">
        <f>IF(G47="","",IFERROR(VLOOKUP(G47,Kategorien!$A$2:$E$23,5,FALSE),""))</f>
        <v/>
      </c>
    </row>
    <row r="48" spans="1:22" x14ac:dyDescent="0.25">
      <c r="A48" s="21"/>
      <c r="B48" s="22"/>
      <c r="C48" s="29" t="str">
        <f>IF(G48="","",IFERROR(VLOOKUP(G48,Kategorien!$A$2:$E$23,2,FALSE),"Kategorie prüfen"))</f>
        <v/>
      </c>
      <c r="D48" s="22"/>
      <c r="E48" s="22"/>
      <c r="F48" s="22"/>
      <c r="G48" s="22"/>
      <c r="H48" s="22"/>
      <c r="I48" s="26"/>
      <c r="J48" s="33" t="str">
        <f>IF(G48="","",IFERROR(VLOOKUP(G48,Kategorien!$A$2:$E$23,3,FALSE),0))</f>
        <v/>
      </c>
      <c r="K48" s="34" t="str">
        <f t="shared" si="10"/>
        <v/>
      </c>
      <c r="L48" s="34" t="str">
        <f t="shared" si="11"/>
        <v/>
      </c>
      <c r="M48" s="33" t="str">
        <f>IF(G48="","",IFERROR(VLOOKUP(G48,Kategorien!$A$2:$E$23,4,FALSE),1))</f>
        <v/>
      </c>
      <c r="N48" s="34" t="str">
        <f t="shared" si="12"/>
        <v/>
      </c>
      <c r="O48" s="34">
        <f t="shared" si="13"/>
        <v>0</v>
      </c>
      <c r="P48" s="29" t="str">
        <f t="shared" si="14"/>
        <v/>
      </c>
      <c r="Q48" s="29" t="str">
        <f t="shared" si="15"/>
        <v/>
      </c>
      <c r="R48" s="29" t="str">
        <f t="shared" si="16"/>
        <v/>
      </c>
      <c r="S48" s="34">
        <f t="shared" si="17"/>
        <v>0</v>
      </c>
      <c r="T48" s="34">
        <f t="shared" si="18"/>
        <v>0</v>
      </c>
      <c r="U48" s="38" t="str">
        <f t="shared" si="19"/>
        <v/>
      </c>
      <c r="V48" s="49" t="str">
        <f>IF(G48="","",IFERROR(VLOOKUP(G48,Kategorien!$A$2:$E$23,5,FALSE),""))</f>
        <v/>
      </c>
    </row>
    <row r="49" spans="1:22" x14ac:dyDescent="0.25">
      <c r="A49" s="21"/>
      <c r="B49" s="22"/>
      <c r="C49" s="29" t="str">
        <f>IF(G49="","",IFERROR(VLOOKUP(G49,Kategorien!$A$2:$E$23,2,FALSE),"Kategorie prüfen"))</f>
        <v/>
      </c>
      <c r="D49" s="22"/>
      <c r="E49" s="22"/>
      <c r="F49" s="22"/>
      <c r="G49" s="22"/>
      <c r="H49" s="22"/>
      <c r="I49" s="26"/>
      <c r="J49" s="33" t="str">
        <f>IF(G49="","",IFERROR(VLOOKUP(G49,Kategorien!$A$2:$E$23,3,FALSE),0))</f>
        <v/>
      </c>
      <c r="K49" s="34" t="str">
        <f t="shared" si="10"/>
        <v/>
      </c>
      <c r="L49" s="34" t="str">
        <f t="shared" si="11"/>
        <v/>
      </c>
      <c r="M49" s="33" t="str">
        <f>IF(G49="","",IFERROR(VLOOKUP(G49,Kategorien!$A$2:$E$23,4,FALSE),1))</f>
        <v/>
      </c>
      <c r="N49" s="34" t="str">
        <f t="shared" si="12"/>
        <v/>
      </c>
      <c r="O49" s="34">
        <f t="shared" si="13"/>
        <v>0</v>
      </c>
      <c r="P49" s="29" t="str">
        <f t="shared" si="14"/>
        <v/>
      </c>
      <c r="Q49" s="29" t="str">
        <f t="shared" si="15"/>
        <v/>
      </c>
      <c r="R49" s="29" t="str">
        <f t="shared" si="16"/>
        <v/>
      </c>
      <c r="S49" s="34">
        <f t="shared" si="17"/>
        <v>0</v>
      </c>
      <c r="T49" s="34">
        <f t="shared" si="18"/>
        <v>0</v>
      </c>
      <c r="U49" s="38" t="str">
        <f t="shared" si="19"/>
        <v/>
      </c>
      <c r="V49" s="49" t="str">
        <f>IF(G49="","",IFERROR(VLOOKUP(G49,Kategorien!$A$2:$E$23,5,FALSE),""))</f>
        <v/>
      </c>
    </row>
    <row r="50" spans="1:22" x14ac:dyDescent="0.25">
      <c r="A50" s="21"/>
      <c r="B50" s="22"/>
      <c r="C50" s="29" t="str">
        <f>IF(G50="","",IFERROR(VLOOKUP(G50,Kategorien!$A$2:$E$23,2,FALSE),"Kategorie prüfen"))</f>
        <v/>
      </c>
      <c r="D50" s="22"/>
      <c r="E50" s="22"/>
      <c r="F50" s="22"/>
      <c r="G50" s="22"/>
      <c r="H50" s="22"/>
      <c r="I50" s="26"/>
      <c r="J50" s="33" t="str">
        <f>IF(G50="","",IFERROR(VLOOKUP(G50,Kategorien!$A$2:$E$23,3,FALSE),0))</f>
        <v/>
      </c>
      <c r="K50" s="34" t="str">
        <f t="shared" si="10"/>
        <v/>
      </c>
      <c r="L50" s="34" t="str">
        <f t="shared" si="11"/>
        <v/>
      </c>
      <c r="M50" s="33" t="str">
        <f>IF(G50="","",IFERROR(VLOOKUP(G50,Kategorien!$A$2:$E$23,4,FALSE),1))</f>
        <v/>
      </c>
      <c r="N50" s="34" t="str">
        <f t="shared" si="12"/>
        <v/>
      </c>
      <c r="O50" s="34">
        <f t="shared" si="13"/>
        <v>0</v>
      </c>
      <c r="P50" s="29" t="str">
        <f t="shared" si="14"/>
        <v/>
      </c>
      <c r="Q50" s="29" t="str">
        <f t="shared" si="15"/>
        <v/>
      </c>
      <c r="R50" s="29" t="str">
        <f t="shared" si="16"/>
        <v/>
      </c>
      <c r="S50" s="34">
        <f t="shared" si="17"/>
        <v>0</v>
      </c>
      <c r="T50" s="34">
        <f t="shared" si="18"/>
        <v>0</v>
      </c>
      <c r="U50" s="38" t="str">
        <f t="shared" si="19"/>
        <v/>
      </c>
      <c r="V50" s="49" t="str">
        <f>IF(G50="","",IFERROR(VLOOKUP(G50,Kategorien!$A$2:$E$23,5,FALSE),""))</f>
        <v/>
      </c>
    </row>
    <row r="51" spans="1:22" x14ac:dyDescent="0.25">
      <c r="A51" s="21"/>
      <c r="B51" s="22"/>
      <c r="C51" s="29" t="str">
        <f>IF(G51="","",IFERROR(VLOOKUP(G51,Kategorien!$A$2:$E$23,2,FALSE),"Kategorie prüfen"))</f>
        <v/>
      </c>
      <c r="D51" s="22"/>
      <c r="E51" s="22"/>
      <c r="F51" s="22"/>
      <c r="G51" s="22"/>
      <c r="H51" s="22"/>
      <c r="I51" s="26"/>
      <c r="J51" s="33" t="str">
        <f>IF(G51="","",IFERROR(VLOOKUP(G51,Kategorien!$A$2:$E$23,3,FALSE),0))</f>
        <v/>
      </c>
      <c r="K51" s="34" t="str">
        <f t="shared" si="10"/>
        <v/>
      </c>
      <c r="L51" s="34" t="str">
        <f t="shared" si="11"/>
        <v/>
      </c>
      <c r="M51" s="33" t="str">
        <f>IF(G51="","",IFERROR(VLOOKUP(G51,Kategorien!$A$2:$E$23,4,FALSE),1))</f>
        <v/>
      </c>
      <c r="N51" s="34" t="str">
        <f t="shared" si="12"/>
        <v/>
      </c>
      <c r="O51" s="34">
        <f t="shared" si="13"/>
        <v>0</v>
      </c>
      <c r="P51" s="29" t="str">
        <f t="shared" si="14"/>
        <v/>
      </c>
      <c r="Q51" s="29" t="str">
        <f t="shared" si="15"/>
        <v/>
      </c>
      <c r="R51" s="29" t="str">
        <f t="shared" si="16"/>
        <v/>
      </c>
      <c r="S51" s="34">
        <f t="shared" si="17"/>
        <v>0</v>
      </c>
      <c r="T51" s="34">
        <f t="shared" si="18"/>
        <v>0</v>
      </c>
      <c r="U51" s="38" t="str">
        <f t="shared" si="19"/>
        <v/>
      </c>
      <c r="V51" s="49" t="str">
        <f>IF(G51="","",IFERROR(VLOOKUP(G51,Kategorien!$A$2:$E$23,5,FALSE),""))</f>
        <v/>
      </c>
    </row>
    <row r="52" spans="1:22" x14ac:dyDescent="0.25">
      <c r="A52" s="21"/>
      <c r="B52" s="22"/>
      <c r="C52" s="29" t="str">
        <f>IF(G52="","",IFERROR(VLOOKUP(G52,Kategorien!$A$2:$E$23,2,FALSE),"Kategorie prüfen"))</f>
        <v/>
      </c>
      <c r="D52" s="22"/>
      <c r="E52" s="22"/>
      <c r="F52" s="22"/>
      <c r="G52" s="22"/>
      <c r="H52" s="22"/>
      <c r="I52" s="26"/>
      <c r="J52" s="33" t="str">
        <f>IF(G52="","",IFERROR(VLOOKUP(G52,Kategorien!$A$2:$E$23,3,FALSE),0))</f>
        <v/>
      </c>
      <c r="K52" s="34" t="str">
        <f t="shared" si="10"/>
        <v/>
      </c>
      <c r="L52" s="34" t="str">
        <f t="shared" si="11"/>
        <v/>
      </c>
      <c r="M52" s="33" t="str">
        <f>IF(G52="","",IFERROR(VLOOKUP(G52,Kategorien!$A$2:$E$23,4,FALSE),1))</f>
        <v/>
      </c>
      <c r="N52" s="34" t="str">
        <f t="shared" si="12"/>
        <v/>
      </c>
      <c r="O52" s="34">
        <f t="shared" si="13"/>
        <v>0</v>
      </c>
      <c r="P52" s="29" t="str">
        <f t="shared" si="14"/>
        <v/>
      </c>
      <c r="Q52" s="29" t="str">
        <f t="shared" si="15"/>
        <v/>
      </c>
      <c r="R52" s="29" t="str">
        <f t="shared" si="16"/>
        <v/>
      </c>
      <c r="S52" s="34">
        <f t="shared" si="17"/>
        <v>0</v>
      </c>
      <c r="T52" s="34">
        <f t="shared" si="18"/>
        <v>0</v>
      </c>
      <c r="U52" s="38" t="str">
        <f t="shared" si="19"/>
        <v/>
      </c>
      <c r="V52" s="49" t="str">
        <f>IF(G52="","",IFERROR(VLOOKUP(G52,Kategorien!$A$2:$E$23,5,FALSE),""))</f>
        <v/>
      </c>
    </row>
    <row r="53" spans="1:22" x14ac:dyDescent="0.25">
      <c r="A53" s="21"/>
      <c r="B53" s="22"/>
      <c r="C53" s="29" t="str">
        <f>IF(G53="","",IFERROR(VLOOKUP(G53,Kategorien!$A$2:$E$23,2,FALSE),"Kategorie prüfen"))</f>
        <v/>
      </c>
      <c r="D53" s="22"/>
      <c r="E53" s="22"/>
      <c r="F53" s="22"/>
      <c r="G53" s="22"/>
      <c r="H53" s="22"/>
      <c r="I53" s="26"/>
      <c r="J53" s="33" t="str">
        <f>IF(G53="","",IFERROR(VLOOKUP(G53,Kategorien!$A$2:$E$23,3,FALSE),0))</f>
        <v/>
      </c>
      <c r="K53" s="34" t="str">
        <f t="shared" si="10"/>
        <v/>
      </c>
      <c r="L53" s="34" t="str">
        <f t="shared" si="11"/>
        <v/>
      </c>
      <c r="M53" s="33" t="str">
        <f>IF(G53="","",IFERROR(VLOOKUP(G53,Kategorien!$A$2:$E$23,4,FALSE),1))</f>
        <v/>
      </c>
      <c r="N53" s="34" t="str">
        <f t="shared" si="12"/>
        <v/>
      </c>
      <c r="O53" s="34">
        <f t="shared" si="13"/>
        <v>0</v>
      </c>
      <c r="P53" s="29" t="str">
        <f t="shared" si="14"/>
        <v/>
      </c>
      <c r="Q53" s="29" t="str">
        <f t="shared" si="15"/>
        <v/>
      </c>
      <c r="R53" s="29" t="str">
        <f t="shared" si="16"/>
        <v/>
      </c>
      <c r="S53" s="34">
        <f t="shared" si="17"/>
        <v>0</v>
      </c>
      <c r="T53" s="34">
        <f t="shared" si="18"/>
        <v>0</v>
      </c>
      <c r="U53" s="38" t="str">
        <f t="shared" si="19"/>
        <v/>
      </c>
      <c r="V53" s="49" t="str">
        <f>IF(G53="","",IFERROR(VLOOKUP(G53,Kategorien!$A$2:$E$23,5,FALSE),""))</f>
        <v/>
      </c>
    </row>
    <row r="54" spans="1:22" x14ac:dyDescent="0.25">
      <c r="A54" s="21"/>
      <c r="B54" s="22"/>
      <c r="C54" s="29" t="str">
        <f>IF(G54="","",IFERROR(VLOOKUP(G54,Kategorien!$A$2:$E$23,2,FALSE),"Kategorie prüfen"))</f>
        <v/>
      </c>
      <c r="D54" s="22"/>
      <c r="E54" s="22"/>
      <c r="F54" s="22"/>
      <c r="G54" s="22"/>
      <c r="H54" s="22"/>
      <c r="I54" s="26"/>
      <c r="J54" s="33" t="str">
        <f>IF(G54="","",IFERROR(VLOOKUP(G54,Kategorien!$A$2:$E$23,3,FALSE),0))</f>
        <v/>
      </c>
      <c r="K54" s="34" t="str">
        <f t="shared" si="10"/>
        <v/>
      </c>
      <c r="L54" s="34" t="str">
        <f t="shared" si="11"/>
        <v/>
      </c>
      <c r="M54" s="33" t="str">
        <f>IF(G54="","",IFERROR(VLOOKUP(G54,Kategorien!$A$2:$E$23,4,FALSE),1))</f>
        <v/>
      </c>
      <c r="N54" s="34" t="str">
        <f t="shared" si="12"/>
        <v/>
      </c>
      <c r="O54" s="34">
        <f t="shared" si="13"/>
        <v>0</v>
      </c>
      <c r="P54" s="29" t="str">
        <f t="shared" si="14"/>
        <v/>
      </c>
      <c r="Q54" s="29" t="str">
        <f t="shared" si="15"/>
        <v/>
      </c>
      <c r="R54" s="29" t="str">
        <f t="shared" si="16"/>
        <v/>
      </c>
      <c r="S54" s="34">
        <f t="shared" si="17"/>
        <v>0</v>
      </c>
      <c r="T54" s="34">
        <f t="shared" si="18"/>
        <v>0</v>
      </c>
      <c r="U54" s="38" t="str">
        <f t="shared" si="19"/>
        <v/>
      </c>
      <c r="V54" s="49" t="str">
        <f>IF(G54="","",IFERROR(VLOOKUP(G54,Kategorien!$A$2:$E$23,5,FALSE),""))</f>
        <v/>
      </c>
    </row>
    <row r="55" spans="1:22" x14ac:dyDescent="0.25">
      <c r="A55" s="21"/>
      <c r="B55" s="22"/>
      <c r="C55" s="29" t="str">
        <f>IF(G55="","",IFERROR(VLOOKUP(G55,Kategorien!$A$2:$E$23,2,FALSE),"Kategorie prüfen"))</f>
        <v/>
      </c>
      <c r="D55" s="22"/>
      <c r="E55" s="22"/>
      <c r="F55" s="22"/>
      <c r="G55" s="22"/>
      <c r="H55" s="22"/>
      <c r="I55" s="26"/>
      <c r="J55" s="33" t="str">
        <f>IF(G55="","",IFERROR(VLOOKUP(G55,Kategorien!$A$2:$E$23,3,FALSE),0))</f>
        <v/>
      </c>
      <c r="K55" s="34" t="str">
        <f t="shared" si="10"/>
        <v/>
      </c>
      <c r="L55" s="34" t="str">
        <f t="shared" si="11"/>
        <v/>
      </c>
      <c r="M55" s="33" t="str">
        <f>IF(G55="","",IFERROR(VLOOKUP(G55,Kategorien!$A$2:$E$23,4,FALSE),1))</f>
        <v/>
      </c>
      <c r="N55" s="34" t="str">
        <f t="shared" si="12"/>
        <v/>
      </c>
      <c r="O55" s="34">
        <f t="shared" si="13"/>
        <v>0</v>
      </c>
      <c r="P55" s="29" t="str">
        <f t="shared" si="14"/>
        <v/>
      </c>
      <c r="Q55" s="29" t="str">
        <f t="shared" si="15"/>
        <v/>
      </c>
      <c r="R55" s="29" t="str">
        <f t="shared" si="16"/>
        <v/>
      </c>
      <c r="S55" s="34">
        <f t="shared" si="17"/>
        <v>0</v>
      </c>
      <c r="T55" s="34">
        <f t="shared" si="18"/>
        <v>0</v>
      </c>
      <c r="U55" s="38" t="str">
        <f t="shared" si="19"/>
        <v/>
      </c>
      <c r="V55" s="49" t="str">
        <f>IF(G55="","",IFERROR(VLOOKUP(G55,Kategorien!$A$2:$E$23,5,FALSE),""))</f>
        <v/>
      </c>
    </row>
    <row r="56" spans="1:22" x14ac:dyDescent="0.25">
      <c r="A56" s="21"/>
      <c r="B56" s="22"/>
      <c r="C56" s="29" t="str">
        <f>IF(G56="","",IFERROR(VLOOKUP(G56,Kategorien!$A$2:$E$23,2,FALSE),"Kategorie prüfen"))</f>
        <v/>
      </c>
      <c r="D56" s="22"/>
      <c r="E56" s="22"/>
      <c r="F56" s="22"/>
      <c r="G56" s="22"/>
      <c r="H56" s="22"/>
      <c r="I56" s="26"/>
      <c r="J56" s="33" t="str">
        <f>IF(G56="","",IFERROR(VLOOKUP(G56,Kategorien!$A$2:$E$23,3,FALSE),0))</f>
        <v/>
      </c>
      <c r="K56" s="34" t="str">
        <f t="shared" si="10"/>
        <v/>
      </c>
      <c r="L56" s="34" t="str">
        <f t="shared" si="11"/>
        <v/>
      </c>
      <c r="M56" s="33" t="str">
        <f>IF(G56="","",IFERROR(VLOOKUP(G56,Kategorien!$A$2:$E$23,4,FALSE),1))</f>
        <v/>
      </c>
      <c r="N56" s="34" t="str">
        <f t="shared" si="12"/>
        <v/>
      </c>
      <c r="O56" s="34">
        <f t="shared" si="13"/>
        <v>0</v>
      </c>
      <c r="P56" s="29" t="str">
        <f t="shared" si="14"/>
        <v/>
      </c>
      <c r="Q56" s="29" t="str">
        <f t="shared" si="15"/>
        <v/>
      </c>
      <c r="R56" s="29" t="str">
        <f t="shared" si="16"/>
        <v/>
      </c>
      <c r="S56" s="34">
        <f t="shared" si="17"/>
        <v>0</v>
      </c>
      <c r="T56" s="34">
        <f t="shared" si="18"/>
        <v>0</v>
      </c>
      <c r="U56" s="38" t="str">
        <f t="shared" si="19"/>
        <v/>
      </c>
      <c r="V56" s="49" t="str">
        <f>IF(G56="","",IFERROR(VLOOKUP(G56,Kategorien!$A$2:$E$23,5,FALSE),""))</f>
        <v/>
      </c>
    </row>
    <row r="57" spans="1:22" x14ac:dyDescent="0.25">
      <c r="A57" s="21"/>
      <c r="B57" s="22"/>
      <c r="C57" s="29" t="str">
        <f>IF(G57="","",IFERROR(VLOOKUP(G57,Kategorien!$A$2:$E$23,2,FALSE),"Kategorie prüfen"))</f>
        <v/>
      </c>
      <c r="D57" s="22"/>
      <c r="E57" s="22"/>
      <c r="F57" s="22"/>
      <c r="G57" s="22"/>
      <c r="H57" s="22"/>
      <c r="I57" s="26"/>
      <c r="J57" s="33" t="str">
        <f>IF(G57="","",IFERROR(VLOOKUP(G57,Kategorien!$A$2:$E$23,3,FALSE),0))</f>
        <v/>
      </c>
      <c r="K57" s="34" t="str">
        <f t="shared" si="10"/>
        <v/>
      </c>
      <c r="L57" s="34" t="str">
        <f t="shared" si="11"/>
        <v/>
      </c>
      <c r="M57" s="33" t="str">
        <f>IF(G57="","",IFERROR(VLOOKUP(G57,Kategorien!$A$2:$E$23,4,FALSE),1))</f>
        <v/>
      </c>
      <c r="N57" s="34" t="str">
        <f t="shared" si="12"/>
        <v/>
      </c>
      <c r="O57" s="34">
        <f t="shared" si="13"/>
        <v>0</v>
      </c>
      <c r="P57" s="29" t="str">
        <f t="shared" si="14"/>
        <v/>
      </c>
      <c r="Q57" s="29" t="str">
        <f t="shared" si="15"/>
        <v/>
      </c>
      <c r="R57" s="29" t="str">
        <f t="shared" si="16"/>
        <v/>
      </c>
      <c r="S57" s="34">
        <f t="shared" si="17"/>
        <v>0</v>
      </c>
      <c r="T57" s="34">
        <f t="shared" si="18"/>
        <v>0</v>
      </c>
      <c r="U57" s="38" t="str">
        <f t="shared" si="19"/>
        <v/>
      </c>
      <c r="V57" s="49" t="str">
        <f>IF(G57="","",IFERROR(VLOOKUP(G57,Kategorien!$A$2:$E$23,5,FALSE),""))</f>
        <v/>
      </c>
    </row>
    <row r="58" spans="1:22" x14ac:dyDescent="0.25">
      <c r="A58" s="21"/>
      <c r="B58" s="22"/>
      <c r="C58" s="29" t="str">
        <f>IF(G58="","",IFERROR(VLOOKUP(G58,Kategorien!$A$2:$E$23,2,FALSE),"Kategorie prüfen"))</f>
        <v/>
      </c>
      <c r="D58" s="22"/>
      <c r="E58" s="22"/>
      <c r="F58" s="22"/>
      <c r="G58" s="22"/>
      <c r="H58" s="22"/>
      <c r="I58" s="26"/>
      <c r="J58" s="33" t="str">
        <f>IF(G58="","",IFERROR(VLOOKUP(G58,Kategorien!$A$2:$E$23,3,FALSE),0))</f>
        <v/>
      </c>
      <c r="K58" s="34" t="str">
        <f t="shared" si="10"/>
        <v/>
      </c>
      <c r="L58" s="34" t="str">
        <f t="shared" si="11"/>
        <v/>
      </c>
      <c r="M58" s="33" t="str">
        <f>IF(G58="","",IFERROR(VLOOKUP(G58,Kategorien!$A$2:$E$23,4,FALSE),1))</f>
        <v/>
      </c>
      <c r="N58" s="34" t="str">
        <f t="shared" si="12"/>
        <v/>
      </c>
      <c r="O58" s="34">
        <f t="shared" si="13"/>
        <v>0</v>
      </c>
      <c r="P58" s="29" t="str">
        <f t="shared" si="14"/>
        <v/>
      </c>
      <c r="Q58" s="29" t="str">
        <f t="shared" si="15"/>
        <v/>
      </c>
      <c r="R58" s="29" t="str">
        <f t="shared" si="16"/>
        <v/>
      </c>
      <c r="S58" s="34">
        <f t="shared" si="17"/>
        <v>0</v>
      </c>
      <c r="T58" s="34">
        <f t="shared" si="18"/>
        <v>0</v>
      </c>
      <c r="U58" s="38" t="str">
        <f t="shared" si="19"/>
        <v/>
      </c>
      <c r="V58" s="49" t="str">
        <f>IF(G58="","",IFERROR(VLOOKUP(G58,Kategorien!$A$2:$E$23,5,FALSE),""))</f>
        <v/>
      </c>
    </row>
    <row r="59" spans="1:22" x14ac:dyDescent="0.25">
      <c r="A59" s="21"/>
      <c r="B59" s="22"/>
      <c r="C59" s="29" t="str">
        <f>IF(G59="","",IFERROR(VLOOKUP(G59,Kategorien!$A$2:$E$23,2,FALSE),"Kategorie prüfen"))</f>
        <v/>
      </c>
      <c r="D59" s="22"/>
      <c r="E59" s="22"/>
      <c r="F59" s="22"/>
      <c r="G59" s="22"/>
      <c r="H59" s="22"/>
      <c r="I59" s="26"/>
      <c r="J59" s="33" t="str">
        <f>IF(G59="","",IFERROR(VLOOKUP(G59,Kategorien!$A$2:$E$23,3,FALSE),0))</f>
        <v/>
      </c>
      <c r="K59" s="34" t="str">
        <f t="shared" si="10"/>
        <v/>
      </c>
      <c r="L59" s="34" t="str">
        <f t="shared" si="11"/>
        <v/>
      </c>
      <c r="M59" s="33" t="str">
        <f>IF(G59="","",IFERROR(VLOOKUP(G59,Kategorien!$A$2:$E$23,4,FALSE),1))</f>
        <v/>
      </c>
      <c r="N59" s="34" t="str">
        <f t="shared" si="12"/>
        <v/>
      </c>
      <c r="O59" s="34">
        <f t="shared" si="13"/>
        <v>0</v>
      </c>
      <c r="P59" s="29" t="str">
        <f t="shared" si="14"/>
        <v/>
      </c>
      <c r="Q59" s="29" t="str">
        <f t="shared" si="15"/>
        <v/>
      </c>
      <c r="R59" s="29" t="str">
        <f t="shared" si="16"/>
        <v/>
      </c>
      <c r="S59" s="34">
        <f t="shared" si="17"/>
        <v>0</v>
      </c>
      <c r="T59" s="34">
        <f t="shared" si="18"/>
        <v>0</v>
      </c>
      <c r="U59" s="38" t="str">
        <f t="shared" si="19"/>
        <v/>
      </c>
      <c r="V59" s="49" t="str">
        <f>IF(G59="","",IFERROR(VLOOKUP(G59,Kategorien!$A$2:$E$23,5,FALSE),""))</f>
        <v/>
      </c>
    </row>
    <row r="60" spans="1:22" x14ac:dyDescent="0.25">
      <c r="A60" s="21"/>
      <c r="B60" s="22"/>
      <c r="C60" s="29" t="str">
        <f>IF(G60="","",IFERROR(VLOOKUP(G60,Kategorien!$A$2:$E$23,2,FALSE),"Kategorie prüfen"))</f>
        <v/>
      </c>
      <c r="D60" s="22"/>
      <c r="E60" s="22"/>
      <c r="F60" s="22"/>
      <c r="G60" s="22"/>
      <c r="H60" s="22"/>
      <c r="I60" s="26"/>
      <c r="J60" s="33" t="str">
        <f>IF(G60="","",IFERROR(VLOOKUP(G60,Kategorien!$A$2:$E$23,3,FALSE),0))</f>
        <v/>
      </c>
      <c r="K60" s="34" t="str">
        <f t="shared" si="10"/>
        <v/>
      </c>
      <c r="L60" s="34" t="str">
        <f t="shared" si="11"/>
        <v/>
      </c>
      <c r="M60" s="33" t="str">
        <f>IF(G60="","",IFERROR(VLOOKUP(G60,Kategorien!$A$2:$E$23,4,FALSE),1))</f>
        <v/>
      </c>
      <c r="N60" s="34" t="str">
        <f t="shared" si="12"/>
        <v/>
      </c>
      <c r="O60" s="34">
        <f t="shared" si="13"/>
        <v>0</v>
      </c>
      <c r="P60" s="29" t="str">
        <f t="shared" si="14"/>
        <v/>
      </c>
      <c r="Q60" s="29" t="str">
        <f t="shared" si="15"/>
        <v/>
      </c>
      <c r="R60" s="29" t="str">
        <f t="shared" si="16"/>
        <v/>
      </c>
      <c r="S60" s="34">
        <f t="shared" si="17"/>
        <v>0</v>
      </c>
      <c r="T60" s="34">
        <f t="shared" si="18"/>
        <v>0</v>
      </c>
      <c r="U60" s="38" t="str">
        <f t="shared" si="19"/>
        <v/>
      </c>
      <c r="V60" s="49" t="str">
        <f>IF(G60="","",IFERROR(VLOOKUP(G60,Kategorien!$A$2:$E$23,5,FALSE),""))</f>
        <v/>
      </c>
    </row>
    <row r="61" spans="1:22" x14ac:dyDescent="0.25">
      <c r="A61" s="21"/>
      <c r="B61" s="22"/>
      <c r="C61" s="29" t="str">
        <f>IF(G61="","",IFERROR(VLOOKUP(G61,Kategorien!$A$2:$E$23,2,FALSE),"Kategorie prüfen"))</f>
        <v/>
      </c>
      <c r="D61" s="22"/>
      <c r="E61" s="22"/>
      <c r="F61" s="22"/>
      <c r="G61" s="22"/>
      <c r="H61" s="22"/>
      <c r="I61" s="26"/>
      <c r="J61" s="33" t="str">
        <f>IF(G61="","",IFERROR(VLOOKUP(G61,Kategorien!$A$2:$E$23,3,FALSE),0))</f>
        <v/>
      </c>
      <c r="K61" s="34" t="str">
        <f t="shared" si="10"/>
        <v/>
      </c>
      <c r="L61" s="34" t="str">
        <f t="shared" si="11"/>
        <v/>
      </c>
      <c r="M61" s="33" t="str">
        <f>IF(G61="","",IFERROR(VLOOKUP(G61,Kategorien!$A$2:$E$23,4,FALSE),1))</f>
        <v/>
      </c>
      <c r="N61" s="34" t="str">
        <f t="shared" si="12"/>
        <v/>
      </c>
      <c r="O61" s="34">
        <f t="shared" si="13"/>
        <v>0</v>
      </c>
      <c r="P61" s="29" t="str">
        <f t="shared" si="14"/>
        <v/>
      </c>
      <c r="Q61" s="29" t="str">
        <f t="shared" si="15"/>
        <v/>
      </c>
      <c r="R61" s="29" t="str">
        <f t="shared" si="16"/>
        <v/>
      </c>
      <c r="S61" s="34">
        <f t="shared" si="17"/>
        <v>0</v>
      </c>
      <c r="T61" s="34">
        <f t="shared" si="18"/>
        <v>0</v>
      </c>
      <c r="U61" s="38" t="str">
        <f t="shared" si="19"/>
        <v/>
      </c>
      <c r="V61" s="49" t="str">
        <f>IF(G61="","",IFERROR(VLOOKUP(G61,Kategorien!$A$2:$E$23,5,FALSE),""))</f>
        <v/>
      </c>
    </row>
    <row r="62" spans="1:22" x14ac:dyDescent="0.25">
      <c r="A62" s="21"/>
      <c r="B62" s="22"/>
      <c r="C62" s="29" t="str">
        <f>IF(G62="","",IFERROR(VLOOKUP(G62,Kategorien!$A$2:$E$23,2,FALSE),"Kategorie prüfen"))</f>
        <v/>
      </c>
      <c r="D62" s="22"/>
      <c r="E62" s="22"/>
      <c r="F62" s="22"/>
      <c r="G62" s="22"/>
      <c r="H62" s="22"/>
      <c r="I62" s="26"/>
      <c r="J62" s="33" t="str">
        <f>IF(G62="","",IFERROR(VLOOKUP(G62,Kategorien!$A$2:$E$23,3,FALSE),0))</f>
        <v/>
      </c>
      <c r="K62" s="34" t="str">
        <f t="shared" si="10"/>
        <v/>
      </c>
      <c r="L62" s="34" t="str">
        <f t="shared" si="11"/>
        <v/>
      </c>
      <c r="M62" s="33" t="str">
        <f>IF(G62="","",IFERROR(VLOOKUP(G62,Kategorien!$A$2:$E$23,4,FALSE),1))</f>
        <v/>
      </c>
      <c r="N62" s="34" t="str">
        <f t="shared" si="12"/>
        <v/>
      </c>
      <c r="O62" s="34">
        <f t="shared" si="13"/>
        <v>0</v>
      </c>
      <c r="P62" s="29" t="str">
        <f t="shared" si="14"/>
        <v/>
      </c>
      <c r="Q62" s="29" t="str">
        <f t="shared" si="15"/>
        <v/>
      </c>
      <c r="R62" s="29" t="str">
        <f t="shared" si="16"/>
        <v/>
      </c>
      <c r="S62" s="34">
        <f t="shared" si="17"/>
        <v>0</v>
      </c>
      <c r="T62" s="34">
        <f t="shared" si="18"/>
        <v>0</v>
      </c>
      <c r="U62" s="38" t="str">
        <f t="shared" si="19"/>
        <v/>
      </c>
      <c r="V62" s="49" t="str">
        <f>IF(G62="","",IFERROR(VLOOKUP(G62,Kategorien!$A$2:$E$23,5,FALSE),""))</f>
        <v/>
      </c>
    </row>
    <row r="63" spans="1:22" x14ac:dyDescent="0.25">
      <c r="A63" s="21"/>
      <c r="B63" s="22"/>
      <c r="C63" s="29" t="str">
        <f>IF(G63="","",IFERROR(VLOOKUP(G63,Kategorien!$A$2:$E$23,2,FALSE),"Kategorie prüfen"))</f>
        <v/>
      </c>
      <c r="D63" s="22"/>
      <c r="E63" s="22"/>
      <c r="F63" s="22"/>
      <c r="G63" s="22"/>
      <c r="H63" s="22"/>
      <c r="I63" s="26"/>
      <c r="J63" s="33" t="str">
        <f>IF(G63="","",IFERROR(VLOOKUP(G63,Kategorien!$A$2:$E$23,3,FALSE),0))</f>
        <v/>
      </c>
      <c r="K63" s="34" t="str">
        <f t="shared" si="10"/>
        <v/>
      </c>
      <c r="L63" s="34" t="str">
        <f t="shared" si="11"/>
        <v/>
      </c>
      <c r="M63" s="33" t="str">
        <f>IF(G63="","",IFERROR(VLOOKUP(G63,Kategorien!$A$2:$E$23,4,FALSE),1))</f>
        <v/>
      </c>
      <c r="N63" s="34" t="str">
        <f t="shared" si="12"/>
        <v/>
      </c>
      <c r="O63" s="34">
        <f t="shared" si="13"/>
        <v>0</v>
      </c>
      <c r="P63" s="29" t="str">
        <f t="shared" si="14"/>
        <v/>
      </c>
      <c r="Q63" s="29" t="str">
        <f t="shared" si="15"/>
        <v/>
      </c>
      <c r="R63" s="29" t="str">
        <f t="shared" si="16"/>
        <v/>
      </c>
      <c r="S63" s="34">
        <f t="shared" si="17"/>
        <v>0</v>
      </c>
      <c r="T63" s="34">
        <f t="shared" si="18"/>
        <v>0</v>
      </c>
      <c r="U63" s="38" t="str">
        <f t="shared" si="19"/>
        <v/>
      </c>
      <c r="V63" s="49" t="str">
        <f>IF(G63="","",IFERROR(VLOOKUP(G63,Kategorien!$A$2:$E$23,5,FALSE),""))</f>
        <v/>
      </c>
    </row>
    <row r="64" spans="1:22" x14ac:dyDescent="0.25">
      <c r="A64" s="21"/>
      <c r="B64" s="22"/>
      <c r="C64" s="29" t="str">
        <f>IF(G64="","",IFERROR(VLOOKUP(G64,Kategorien!$A$2:$E$23,2,FALSE),"Kategorie prüfen"))</f>
        <v/>
      </c>
      <c r="D64" s="22"/>
      <c r="E64" s="22"/>
      <c r="F64" s="22"/>
      <c r="G64" s="22"/>
      <c r="H64" s="22"/>
      <c r="I64" s="26"/>
      <c r="J64" s="33" t="str">
        <f>IF(G64="","",IFERROR(VLOOKUP(G64,Kategorien!$A$2:$E$23,3,FALSE),0))</f>
        <v/>
      </c>
      <c r="K64" s="34" t="str">
        <f t="shared" si="10"/>
        <v/>
      </c>
      <c r="L64" s="34" t="str">
        <f t="shared" si="11"/>
        <v/>
      </c>
      <c r="M64" s="33" t="str">
        <f>IF(G64="","",IFERROR(VLOOKUP(G64,Kategorien!$A$2:$E$23,4,FALSE),1))</f>
        <v/>
      </c>
      <c r="N64" s="34" t="str">
        <f t="shared" si="12"/>
        <v/>
      </c>
      <c r="O64" s="34">
        <f t="shared" si="13"/>
        <v>0</v>
      </c>
      <c r="P64" s="29" t="str">
        <f t="shared" si="14"/>
        <v/>
      </c>
      <c r="Q64" s="29" t="str">
        <f t="shared" si="15"/>
        <v/>
      </c>
      <c r="R64" s="29" t="str">
        <f t="shared" si="16"/>
        <v/>
      </c>
      <c r="S64" s="34">
        <f t="shared" si="17"/>
        <v>0</v>
      </c>
      <c r="T64" s="34">
        <f t="shared" si="18"/>
        <v>0</v>
      </c>
      <c r="U64" s="38" t="str">
        <f t="shared" si="19"/>
        <v/>
      </c>
      <c r="V64" s="49" t="str">
        <f>IF(G64="","",IFERROR(VLOOKUP(G64,Kategorien!$A$2:$E$23,5,FALSE),""))</f>
        <v/>
      </c>
    </row>
    <row r="65" spans="1:22" x14ac:dyDescent="0.25">
      <c r="A65" s="21"/>
      <c r="B65" s="22"/>
      <c r="C65" s="29" t="str">
        <f>IF(G65="","",IFERROR(VLOOKUP(G65,Kategorien!$A$2:$E$23,2,FALSE),"Kategorie prüfen"))</f>
        <v/>
      </c>
      <c r="D65" s="22"/>
      <c r="E65" s="22"/>
      <c r="F65" s="22"/>
      <c r="G65" s="22"/>
      <c r="H65" s="22"/>
      <c r="I65" s="26"/>
      <c r="J65" s="33" t="str">
        <f>IF(G65="","",IFERROR(VLOOKUP(G65,Kategorien!$A$2:$E$23,3,FALSE),0))</f>
        <v/>
      </c>
      <c r="K65" s="34" t="str">
        <f t="shared" si="10"/>
        <v/>
      </c>
      <c r="L65" s="34" t="str">
        <f t="shared" si="11"/>
        <v/>
      </c>
      <c r="M65" s="33" t="str">
        <f>IF(G65="","",IFERROR(VLOOKUP(G65,Kategorien!$A$2:$E$23,4,FALSE),1))</f>
        <v/>
      </c>
      <c r="N65" s="34" t="str">
        <f t="shared" si="12"/>
        <v/>
      </c>
      <c r="O65" s="34">
        <f t="shared" si="13"/>
        <v>0</v>
      </c>
      <c r="P65" s="29" t="str">
        <f t="shared" si="14"/>
        <v/>
      </c>
      <c r="Q65" s="29" t="str">
        <f t="shared" si="15"/>
        <v/>
      </c>
      <c r="R65" s="29" t="str">
        <f t="shared" si="16"/>
        <v/>
      </c>
      <c r="S65" s="34">
        <f t="shared" si="17"/>
        <v>0</v>
      </c>
      <c r="T65" s="34">
        <f t="shared" si="18"/>
        <v>0</v>
      </c>
      <c r="U65" s="38" t="str">
        <f t="shared" si="19"/>
        <v/>
      </c>
      <c r="V65" s="49" t="str">
        <f>IF(G65="","",IFERROR(VLOOKUP(G65,Kategorien!$A$2:$E$23,5,FALSE),""))</f>
        <v/>
      </c>
    </row>
    <row r="66" spans="1:22" x14ac:dyDescent="0.25">
      <c r="A66" s="21"/>
      <c r="B66" s="22"/>
      <c r="C66" s="29" t="str">
        <f>IF(G66="","",IFERROR(VLOOKUP(G66,Kategorien!$A$2:$E$23,2,FALSE),"Kategorie prüfen"))</f>
        <v/>
      </c>
      <c r="D66" s="22"/>
      <c r="E66" s="22"/>
      <c r="F66" s="22"/>
      <c r="G66" s="22"/>
      <c r="H66" s="22"/>
      <c r="I66" s="26"/>
      <c r="J66" s="33" t="str">
        <f>IF(G66="","",IFERROR(VLOOKUP(G66,Kategorien!$A$2:$E$23,3,FALSE),0))</f>
        <v/>
      </c>
      <c r="K66" s="34" t="str">
        <f t="shared" ref="K66:K97" si="20">IF(OR(A66="",I66=""),"",ROUND(I66/(1+J66),2))</f>
        <v/>
      </c>
      <c r="L66" s="34" t="str">
        <f t="shared" ref="L66:L97" si="21">IF(K66="","",ROUND(I66-K66,2))</f>
        <v/>
      </c>
      <c r="M66" s="33" t="str">
        <f>IF(G66="","",IFERROR(VLOOKUP(G66,Kategorien!$A$2:$E$23,4,FALSE),1))</f>
        <v/>
      </c>
      <c r="N66" s="34" t="str">
        <f t="shared" ref="N66:N97" si="22">IF(K66="","",IF(C66="Einnahme",K66,IF(C66="Ausgabe",-K66*M66,0)))</f>
        <v/>
      </c>
      <c r="O66" s="34">
        <f t="shared" ref="O66:O97" si="23">IF(OR(D66&lt;&gt;"Bezahlt",I66=""),0,IF(OR(C66="Einnahme",C66="Privateinlage"),I66,IF(OR(C66="Ausgabe",C66="Steuerzahlung",C66="Privatentnahme"),-I66,0)))</f>
        <v>0</v>
      </c>
      <c r="P66" s="29" t="str">
        <f t="shared" ref="P66:P97" si="24">IF(A66="","",MONTH(A66))</f>
        <v/>
      </c>
      <c r="Q66" s="29" t="str">
        <f t="shared" ref="Q66:Q97" si="25">IF(A66="","","Q"&amp;ROUNDUP(MONTH(A66)/3,0))</f>
        <v/>
      </c>
      <c r="R66" s="29" t="str">
        <f t="shared" ref="R66:R97" si="26">IF(A66="","",YEAR(A66))</f>
        <v/>
      </c>
      <c r="S66" s="34">
        <f t="shared" ref="S66:S97" si="27">IF(AND(C66="Einnahme",D66="Bezahlt"),L66,0)</f>
        <v>0</v>
      </c>
      <c r="T66" s="34">
        <f t="shared" ref="T66:T97" si="28">IF(AND(C66="Ausgabe",D66="Bezahlt"),L66*M66,0)</f>
        <v>0</v>
      </c>
      <c r="U66" s="38" t="str">
        <f t="shared" ref="U66:U97" si="29">IF(A66="","",IF(B66="","Beleg-Nr. fehlt",IF(I66&lt;=0,"Betrag prüfen",IF(C66="Kategorie prüfen","Kategorie prüfen",""))))</f>
        <v/>
      </c>
      <c r="V66" s="49" t="str">
        <f>IF(G66="","",IFERROR(VLOOKUP(G66,Kategorien!$A$2:$E$23,5,FALSE),""))</f>
        <v/>
      </c>
    </row>
    <row r="67" spans="1:22" x14ac:dyDescent="0.25">
      <c r="A67" s="21"/>
      <c r="B67" s="22"/>
      <c r="C67" s="29" t="str">
        <f>IF(G67="","",IFERROR(VLOOKUP(G67,Kategorien!$A$2:$E$23,2,FALSE),"Kategorie prüfen"))</f>
        <v/>
      </c>
      <c r="D67" s="22"/>
      <c r="E67" s="22"/>
      <c r="F67" s="22"/>
      <c r="G67" s="22"/>
      <c r="H67" s="22"/>
      <c r="I67" s="26"/>
      <c r="J67" s="33" t="str">
        <f>IF(G67="","",IFERROR(VLOOKUP(G67,Kategorien!$A$2:$E$23,3,FALSE),0))</f>
        <v/>
      </c>
      <c r="K67" s="34" t="str">
        <f t="shared" si="20"/>
        <v/>
      </c>
      <c r="L67" s="34" t="str">
        <f t="shared" si="21"/>
        <v/>
      </c>
      <c r="M67" s="33" t="str">
        <f>IF(G67="","",IFERROR(VLOOKUP(G67,Kategorien!$A$2:$E$23,4,FALSE),1))</f>
        <v/>
      </c>
      <c r="N67" s="34" t="str">
        <f t="shared" si="22"/>
        <v/>
      </c>
      <c r="O67" s="34">
        <f t="shared" si="23"/>
        <v>0</v>
      </c>
      <c r="P67" s="29" t="str">
        <f t="shared" si="24"/>
        <v/>
      </c>
      <c r="Q67" s="29" t="str">
        <f t="shared" si="25"/>
        <v/>
      </c>
      <c r="R67" s="29" t="str">
        <f t="shared" si="26"/>
        <v/>
      </c>
      <c r="S67" s="34">
        <f t="shared" si="27"/>
        <v>0</v>
      </c>
      <c r="T67" s="34">
        <f t="shared" si="28"/>
        <v>0</v>
      </c>
      <c r="U67" s="38" t="str">
        <f t="shared" si="29"/>
        <v/>
      </c>
      <c r="V67" s="49" t="str">
        <f>IF(G67="","",IFERROR(VLOOKUP(G67,Kategorien!$A$2:$E$23,5,FALSE),""))</f>
        <v/>
      </c>
    </row>
    <row r="68" spans="1:22" x14ac:dyDescent="0.25">
      <c r="A68" s="21"/>
      <c r="B68" s="22"/>
      <c r="C68" s="29" t="str">
        <f>IF(G68="","",IFERROR(VLOOKUP(G68,Kategorien!$A$2:$E$23,2,FALSE),"Kategorie prüfen"))</f>
        <v/>
      </c>
      <c r="D68" s="22"/>
      <c r="E68" s="22"/>
      <c r="F68" s="22"/>
      <c r="G68" s="22"/>
      <c r="H68" s="22"/>
      <c r="I68" s="26"/>
      <c r="J68" s="33" t="str">
        <f>IF(G68="","",IFERROR(VLOOKUP(G68,Kategorien!$A$2:$E$23,3,FALSE),0))</f>
        <v/>
      </c>
      <c r="K68" s="34" t="str">
        <f t="shared" si="20"/>
        <v/>
      </c>
      <c r="L68" s="34" t="str">
        <f t="shared" si="21"/>
        <v/>
      </c>
      <c r="M68" s="33" t="str">
        <f>IF(G68="","",IFERROR(VLOOKUP(G68,Kategorien!$A$2:$E$23,4,FALSE),1))</f>
        <v/>
      </c>
      <c r="N68" s="34" t="str">
        <f t="shared" si="22"/>
        <v/>
      </c>
      <c r="O68" s="34">
        <f t="shared" si="23"/>
        <v>0</v>
      </c>
      <c r="P68" s="29" t="str">
        <f t="shared" si="24"/>
        <v/>
      </c>
      <c r="Q68" s="29" t="str">
        <f t="shared" si="25"/>
        <v/>
      </c>
      <c r="R68" s="29" t="str">
        <f t="shared" si="26"/>
        <v/>
      </c>
      <c r="S68" s="34">
        <f t="shared" si="27"/>
        <v>0</v>
      </c>
      <c r="T68" s="34">
        <f t="shared" si="28"/>
        <v>0</v>
      </c>
      <c r="U68" s="38" t="str">
        <f t="shared" si="29"/>
        <v/>
      </c>
      <c r="V68" s="49" t="str">
        <f>IF(G68="","",IFERROR(VLOOKUP(G68,Kategorien!$A$2:$E$23,5,FALSE),""))</f>
        <v/>
      </c>
    </row>
    <row r="69" spans="1:22" x14ac:dyDescent="0.25">
      <c r="A69" s="21"/>
      <c r="B69" s="22"/>
      <c r="C69" s="29" t="str">
        <f>IF(G69="","",IFERROR(VLOOKUP(G69,Kategorien!$A$2:$E$23,2,FALSE),"Kategorie prüfen"))</f>
        <v/>
      </c>
      <c r="D69" s="22"/>
      <c r="E69" s="22"/>
      <c r="F69" s="22"/>
      <c r="G69" s="22"/>
      <c r="H69" s="22"/>
      <c r="I69" s="26"/>
      <c r="J69" s="33" t="str">
        <f>IF(G69="","",IFERROR(VLOOKUP(G69,Kategorien!$A$2:$E$23,3,FALSE),0))</f>
        <v/>
      </c>
      <c r="K69" s="34" t="str">
        <f t="shared" si="20"/>
        <v/>
      </c>
      <c r="L69" s="34" t="str">
        <f t="shared" si="21"/>
        <v/>
      </c>
      <c r="M69" s="33" t="str">
        <f>IF(G69="","",IFERROR(VLOOKUP(G69,Kategorien!$A$2:$E$23,4,FALSE),1))</f>
        <v/>
      </c>
      <c r="N69" s="34" t="str">
        <f t="shared" si="22"/>
        <v/>
      </c>
      <c r="O69" s="34">
        <f t="shared" si="23"/>
        <v>0</v>
      </c>
      <c r="P69" s="29" t="str">
        <f t="shared" si="24"/>
        <v/>
      </c>
      <c r="Q69" s="29" t="str">
        <f t="shared" si="25"/>
        <v/>
      </c>
      <c r="R69" s="29" t="str">
        <f t="shared" si="26"/>
        <v/>
      </c>
      <c r="S69" s="34">
        <f t="shared" si="27"/>
        <v>0</v>
      </c>
      <c r="T69" s="34">
        <f t="shared" si="28"/>
        <v>0</v>
      </c>
      <c r="U69" s="38" t="str">
        <f t="shared" si="29"/>
        <v/>
      </c>
      <c r="V69" s="49" t="str">
        <f>IF(G69="","",IFERROR(VLOOKUP(G69,Kategorien!$A$2:$E$23,5,FALSE),""))</f>
        <v/>
      </c>
    </row>
    <row r="70" spans="1:22" x14ac:dyDescent="0.25">
      <c r="A70" s="21"/>
      <c r="B70" s="22"/>
      <c r="C70" s="29" t="str">
        <f>IF(G70="","",IFERROR(VLOOKUP(G70,Kategorien!$A$2:$E$23,2,FALSE),"Kategorie prüfen"))</f>
        <v/>
      </c>
      <c r="D70" s="22"/>
      <c r="E70" s="22"/>
      <c r="F70" s="22"/>
      <c r="G70" s="22"/>
      <c r="H70" s="22"/>
      <c r="I70" s="26"/>
      <c r="J70" s="33" t="str">
        <f>IF(G70="","",IFERROR(VLOOKUP(G70,Kategorien!$A$2:$E$23,3,FALSE),0))</f>
        <v/>
      </c>
      <c r="K70" s="34" t="str">
        <f t="shared" si="20"/>
        <v/>
      </c>
      <c r="L70" s="34" t="str">
        <f t="shared" si="21"/>
        <v/>
      </c>
      <c r="M70" s="33" t="str">
        <f>IF(G70="","",IFERROR(VLOOKUP(G70,Kategorien!$A$2:$E$23,4,FALSE),1))</f>
        <v/>
      </c>
      <c r="N70" s="34" t="str">
        <f t="shared" si="22"/>
        <v/>
      </c>
      <c r="O70" s="34">
        <f t="shared" si="23"/>
        <v>0</v>
      </c>
      <c r="P70" s="29" t="str">
        <f t="shared" si="24"/>
        <v/>
      </c>
      <c r="Q70" s="29" t="str">
        <f t="shared" si="25"/>
        <v/>
      </c>
      <c r="R70" s="29" t="str">
        <f t="shared" si="26"/>
        <v/>
      </c>
      <c r="S70" s="34">
        <f t="shared" si="27"/>
        <v>0</v>
      </c>
      <c r="T70" s="34">
        <f t="shared" si="28"/>
        <v>0</v>
      </c>
      <c r="U70" s="38" t="str">
        <f t="shared" si="29"/>
        <v/>
      </c>
      <c r="V70" s="49" t="str">
        <f>IF(G70="","",IFERROR(VLOOKUP(G70,Kategorien!$A$2:$E$23,5,FALSE),""))</f>
        <v/>
      </c>
    </row>
    <row r="71" spans="1:22" x14ac:dyDescent="0.25">
      <c r="A71" s="21"/>
      <c r="B71" s="22"/>
      <c r="C71" s="29" t="str">
        <f>IF(G71="","",IFERROR(VLOOKUP(G71,Kategorien!$A$2:$E$23,2,FALSE),"Kategorie prüfen"))</f>
        <v/>
      </c>
      <c r="D71" s="22"/>
      <c r="E71" s="22"/>
      <c r="F71" s="22"/>
      <c r="G71" s="22"/>
      <c r="H71" s="22"/>
      <c r="I71" s="26"/>
      <c r="J71" s="33" t="str">
        <f>IF(G71="","",IFERROR(VLOOKUP(G71,Kategorien!$A$2:$E$23,3,FALSE),0))</f>
        <v/>
      </c>
      <c r="K71" s="34" t="str">
        <f t="shared" si="20"/>
        <v/>
      </c>
      <c r="L71" s="34" t="str">
        <f t="shared" si="21"/>
        <v/>
      </c>
      <c r="M71" s="33" t="str">
        <f>IF(G71="","",IFERROR(VLOOKUP(G71,Kategorien!$A$2:$E$23,4,FALSE),1))</f>
        <v/>
      </c>
      <c r="N71" s="34" t="str">
        <f t="shared" si="22"/>
        <v/>
      </c>
      <c r="O71" s="34">
        <f t="shared" si="23"/>
        <v>0</v>
      </c>
      <c r="P71" s="29" t="str">
        <f t="shared" si="24"/>
        <v/>
      </c>
      <c r="Q71" s="29" t="str">
        <f t="shared" si="25"/>
        <v/>
      </c>
      <c r="R71" s="29" t="str">
        <f t="shared" si="26"/>
        <v/>
      </c>
      <c r="S71" s="34">
        <f t="shared" si="27"/>
        <v>0</v>
      </c>
      <c r="T71" s="34">
        <f t="shared" si="28"/>
        <v>0</v>
      </c>
      <c r="U71" s="38" t="str">
        <f t="shared" si="29"/>
        <v/>
      </c>
      <c r="V71" s="49" t="str">
        <f>IF(G71="","",IFERROR(VLOOKUP(G71,Kategorien!$A$2:$E$23,5,FALSE),""))</f>
        <v/>
      </c>
    </row>
    <row r="72" spans="1:22" x14ac:dyDescent="0.25">
      <c r="A72" s="21"/>
      <c r="B72" s="22"/>
      <c r="C72" s="29" t="str">
        <f>IF(G72="","",IFERROR(VLOOKUP(G72,Kategorien!$A$2:$E$23,2,FALSE),"Kategorie prüfen"))</f>
        <v/>
      </c>
      <c r="D72" s="22"/>
      <c r="E72" s="22"/>
      <c r="F72" s="22"/>
      <c r="G72" s="22"/>
      <c r="H72" s="22"/>
      <c r="I72" s="26"/>
      <c r="J72" s="33" t="str">
        <f>IF(G72="","",IFERROR(VLOOKUP(G72,Kategorien!$A$2:$E$23,3,FALSE),0))</f>
        <v/>
      </c>
      <c r="K72" s="34" t="str">
        <f t="shared" si="20"/>
        <v/>
      </c>
      <c r="L72" s="34" t="str">
        <f t="shared" si="21"/>
        <v/>
      </c>
      <c r="M72" s="33" t="str">
        <f>IF(G72="","",IFERROR(VLOOKUP(G72,Kategorien!$A$2:$E$23,4,FALSE),1))</f>
        <v/>
      </c>
      <c r="N72" s="34" t="str">
        <f t="shared" si="22"/>
        <v/>
      </c>
      <c r="O72" s="34">
        <f t="shared" si="23"/>
        <v>0</v>
      </c>
      <c r="P72" s="29" t="str">
        <f t="shared" si="24"/>
        <v/>
      </c>
      <c r="Q72" s="29" t="str">
        <f t="shared" si="25"/>
        <v/>
      </c>
      <c r="R72" s="29" t="str">
        <f t="shared" si="26"/>
        <v/>
      </c>
      <c r="S72" s="34">
        <f t="shared" si="27"/>
        <v>0</v>
      </c>
      <c r="T72" s="34">
        <f t="shared" si="28"/>
        <v>0</v>
      </c>
      <c r="U72" s="38" t="str">
        <f t="shared" si="29"/>
        <v/>
      </c>
      <c r="V72" s="49" t="str">
        <f>IF(G72="","",IFERROR(VLOOKUP(G72,Kategorien!$A$2:$E$23,5,FALSE),""))</f>
        <v/>
      </c>
    </row>
    <row r="73" spans="1:22" x14ac:dyDescent="0.25">
      <c r="A73" s="21"/>
      <c r="B73" s="22"/>
      <c r="C73" s="29" t="str">
        <f>IF(G73="","",IFERROR(VLOOKUP(G73,Kategorien!$A$2:$E$23,2,FALSE),"Kategorie prüfen"))</f>
        <v/>
      </c>
      <c r="D73" s="22"/>
      <c r="E73" s="22"/>
      <c r="F73" s="22"/>
      <c r="G73" s="22"/>
      <c r="H73" s="22"/>
      <c r="I73" s="26"/>
      <c r="J73" s="33" t="str">
        <f>IF(G73="","",IFERROR(VLOOKUP(G73,Kategorien!$A$2:$E$23,3,FALSE),0))</f>
        <v/>
      </c>
      <c r="K73" s="34" t="str">
        <f t="shared" si="20"/>
        <v/>
      </c>
      <c r="L73" s="34" t="str">
        <f t="shared" si="21"/>
        <v/>
      </c>
      <c r="M73" s="33" t="str">
        <f>IF(G73="","",IFERROR(VLOOKUP(G73,Kategorien!$A$2:$E$23,4,FALSE),1))</f>
        <v/>
      </c>
      <c r="N73" s="34" t="str">
        <f t="shared" si="22"/>
        <v/>
      </c>
      <c r="O73" s="34">
        <f t="shared" si="23"/>
        <v>0</v>
      </c>
      <c r="P73" s="29" t="str">
        <f t="shared" si="24"/>
        <v/>
      </c>
      <c r="Q73" s="29" t="str">
        <f t="shared" si="25"/>
        <v/>
      </c>
      <c r="R73" s="29" t="str">
        <f t="shared" si="26"/>
        <v/>
      </c>
      <c r="S73" s="34">
        <f t="shared" si="27"/>
        <v>0</v>
      </c>
      <c r="T73" s="34">
        <f t="shared" si="28"/>
        <v>0</v>
      </c>
      <c r="U73" s="38" t="str">
        <f t="shared" si="29"/>
        <v/>
      </c>
      <c r="V73" s="49" t="str">
        <f>IF(G73="","",IFERROR(VLOOKUP(G73,Kategorien!$A$2:$E$23,5,FALSE),""))</f>
        <v/>
      </c>
    </row>
    <row r="74" spans="1:22" x14ac:dyDescent="0.25">
      <c r="A74" s="21"/>
      <c r="B74" s="22"/>
      <c r="C74" s="29" t="str">
        <f>IF(G74="","",IFERROR(VLOOKUP(G74,Kategorien!$A$2:$E$23,2,FALSE),"Kategorie prüfen"))</f>
        <v/>
      </c>
      <c r="D74" s="22"/>
      <c r="E74" s="22"/>
      <c r="F74" s="22"/>
      <c r="G74" s="22"/>
      <c r="H74" s="22"/>
      <c r="I74" s="26"/>
      <c r="J74" s="33" t="str">
        <f>IF(G74="","",IFERROR(VLOOKUP(G74,Kategorien!$A$2:$E$23,3,FALSE),0))</f>
        <v/>
      </c>
      <c r="K74" s="34" t="str">
        <f t="shared" si="20"/>
        <v/>
      </c>
      <c r="L74" s="34" t="str">
        <f t="shared" si="21"/>
        <v/>
      </c>
      <c r="M74" s="33" t="str">
        <f>IF(G74="","",IFERROR(VLOOKUP(G74,Kategorien!$A$2:$E$23,4,FALSE),1))</f>
        <v/>
      </c>
      <c r="N74" s="34" t="str">
        <f t="shared" si="22"/>
        <v/>
      </c>
      <c r="O74" s="34">
        <f t="shared" si="23"/>
        <v>0</v>
      </c>
      <c r="P74" s="29" t="str">
        <f t="shared" si="24"/>
        <v/>
      </c>
      <c r="Q74" s="29" t="str">
        <f t="shared" si="25"/>
        <v/>
      </c>
      <c r="R74" s="29" t="str">
        <f t="shared" si="26"/>
        <v/>
      </c>
      <c r="S74" s="34">
        <f t="shared" si="27"/>
        <v>0</v>
      </c>
      <c r="T74" s="34">
        <f t="shared" si="28"/>
        <v>0</v>
      </c>
      <c r="U74" s="38" t="str">
        <f t="shared" si="29"/>
        <v/>
      </c>
      <c r="V74" s="49" t="str">
        <f>IF(G74="","",IFERROR(VLOOKUP(G74,Kategorien!$A$2:$E$23,5,FALSE),""))</f>
        <v/>
      </c>
    </row>
    <row r="75" spans="1:22" x14ac:dyDescent="0.25">
      <c r="A75" s="21"/>
      <c r="B75" s="22"/>
      <c r="C75" s="29" t="str">
        <f>IF(G75="","",IFERROR(VLOOKUP(G75,Kategorien!$A$2:$E$23,2,FALSE),"Kategorie prüfen"))</f>
        <v/>
      </c>
      <c r="D75" s="22"/>
      <c r="E75" s="22"/>
      <c r="F75" s="22"/>
      <c r="G75" s="22"/>
      <c r="H75" s="22"/>
      <c r="I75" s="26"/>
      <c r="J75" s="33" t="str">
        <f>IF(G75="","",IFERROR(VLOOKUP(G75,Kategorien!$A$2:$E$23,3,FALSE),0))</f>
        <v/>
      </c>
      <c r="K75" s="34" t="str">
        <f t="shared" si="20"/>
        <v/>
      </c>
      <c r="L75" s="34" t="str">
        <f t="shared" si="21"/>
        <v/>
      </c>
      <c r="M75" s="33" t="str">
        <f>IF(G75="","",IFERROR(VLOOKUP(G75,Kategorien!$A$2:$E$23,4,FALSE),1))</f>
        <v/>
      </c>
      <c r="N75" s="34" t="str">
        <f t="shared" si="22"/>
        <v/>
      </c>
      <c r="O75" s="34">
        <f t="shared" si="23"/>
        <v>0</v>
      </c>
      <c r="P75" s="29" t="str">
        <f t="shared" si="24"/>
        <v/>
      </c>
      <c r="Q75" s="29" t="str">
        <f t="shared" si="25"/>
        <v/>
      </c>
      <c r="R75" s="29" t="str">
        <f t="shared" si="26"/>
        <v/>
      </c>
      <c r="S75" s="34">
        <f t="shared" si="27"/>
        <v>0</v>
      </c>
      <c r="T75" s="34">
        <f t="shared" si="28"/>
        <v>0</v>
      </c>
      <c r="U75" s="38" t="str">
        <f t="shared" si="29"/>
        <v/>
      </c>
      <c r="V75" s="49" t="str">
        <f>IF(G75="","",IFERROR(VLOOKUP(G75,Kategorien!$A$2:$E$23,5,FALSE),""))</f>
        <v/>
      </c>
    </row>
    <row r="76" spans="1:22" x14ac:dyDescent="0.25">
      <c r="A76" s="21"/>
      <c r="B76" s="22"/>
      <c r="C76" s="29" t="str">
        <f>IF(G76="","",IFERROR(VLOOKUP(G76,Kategorien!$A$2:$E$23,2,FALSE),"Kategorie prüfen"))</f>
        <v/>
      </c>
      <c r="D76" s="22"/>
      <c r="E76" s="22"/>
      <c r="F76" s="22"/>
      <c r="G76" s="22"/>
      <c r="H76" s="22"/>
      <c r="I76" s="26"/>
      <c r="J76" s="33" t="str">
        <f>IF(G76="","",IFERROR(VLOOKUP(G76,Kategorien!$A$2:$E$23,3,FALSE),0))</f>
        <v/>
      </c>
      <c r="K76" s="34" t="str">
        <f t="shared" si="20"/>
        <v/>
      </c>
      <c r="L76" s="34" t="str">
        <f t="shared" si="21"/>
        <v/>
      </c>
      <c r="M76" s="33" t="str">
        <f>IF(G76="","",IFERROR(VLOOKUP(G76,Kategorien!$A$2:$E$23,4,FALSE),1))</f>
        <v/>
      </c>
      <c r="N76" s="34" t="str">
        <f t="shared" si="22"/>
        <v/>
      </c>
      <c r="O76" s="34">
        <f t="shared" si="23"/>
        <v>0</v>
      </c>
      <c r="P76" s="29" t="str">
        <f t="shared" si="24"/>
        <v/>
      </c>
      <c r="Q76" s="29" t="str">
        <f t="shared" si="25"/>
        <v/>
      </c>
      <c r="R76" s="29" t="str">
        <f t="shared" si="26"/>
        <v/>
      </c>
      <c r="S76" s="34">
        <f t="shared" si="27"/>
        <v>0</v>
      </c>
      <c r="T76" s="34">
        <f t="shared" si="28"/>
        <v>0</v>
      </c>
      <c r="U76" s="38" t="str">
        <f t="shared" si="29"/>
        <v/>
      </c>
      <c r="V76" s="49" t="str">
        <f>IF(G76="","",IFERROR(VLOOKUP(G76,Kategorien!$A$2:$E$23,5,FALSE),""))</f>
        <v/>
      </c>
    </row>
    <row r="77" spans="1:22" x14ac:dyDescent="0.25">
      <c r="A77" s="21"/>
      <c r="B77" s="22"/>
      <c r="C77" s="29" t="str">
        <f>IF(G77="","",IFERROR(VLOOKUP(G77,Kategorien!$A$2:$E$23,2,FALSE),"Kategorie prüfen"))</f>
        <v/>
      </c>
      <c r="D77" s="22"/>
      <c r="E77" s="22"/>
      <c r="F77" s="22"/>
      <c r="G77" s="22"/>
      <c r="H77" s="22"/>
      <c r="I77" s="26"/>
      <c r="J77" s="33" t="str">
        <f>IF(G77="","",IFERROR(VLOOKUP(G77,Kategorien!$A$2:$E$23,3,FALSE),0))</f>
        <v/>
      </c>
      <c r="K77" s="34" t="str">
        <f t="shared" si="20"/>
        <v/>
      </c>
      <c r="L77" s="34" t="str">
        <f t="shared" si="21"/>
        <v/>
      </c>
      <c r="M77" s="33" t="str">
        <f>IF(G77="","",IFERROR(VLOOKUP(G77,Kategorien!$A$2:$E$23,4,FALSE),1))</f>
        <v/>
      </c>
      <c r="N77" s="34" t="str">
        <f t="shared" si="22"/>
        <v/>
      </c>
      <c r="O77" s="34">
        <f t="shared" si="23"/>
        <v>0</v>
      </c>
      <c r="P77" s="29" t="str">
        <f t="shared" si="24"/>
        <v/>
      </c>
      <c r="Q77" s="29" t="str">
        <f t="shared" si="25"/>
        <v/>
      </c>
      <c r="R77" s="29" t="str">
        <f t="shared" si="26"/>
        <v/>
      </c>
      <c r="S77" s="34">
        <f t="shared" si="27"/>
        <v>0</v>
      </c>
      <c r="T77" s="34">
        <f t="shared" si="28"/>
        <v>0</v>
      </c>
      <c r="U77" s="38" t="str">
        <f t="shared" si="29"/>
        <v/>
      </c>
      <c r="V77" s="49" t="str">
        <f>IF(G77="","",IFERROR(VLOOKUP(G77,Kategorien!$A$2:$E$23,5,FALSE),""))</f>
        <v/>
      </c>
    </row>
    <row r="78" spans="1:22" x14ac:dyDescent="0.25">
      <c r="A78" s="21"/>
      <c r="B78" s="22"/>
      <c r="C78" s="29" t="str">
        <f>IF(G78="","",IFERROR(VLOOKUP(G78,Kategorien!$A$2:$E$23,2,FALSE),"Kategorie prüfen"))</f>
        <v/>
      </c>
      <c r="D78" s="22"/>
      <c r="E78" s="22"/>
      <c r="F78" s="22"/>
      <c r="G78" s="22"/>
      <c r="H78" s="22"/>
      <c r="I78" s="26"/>
      <c r="J78" s="33" t="str">
        <f>IF(G78="","",IFERROR(VLOOKUP(G78,Kategorien!$A$2:$E$23,3,FALSE),0))</f>
        <v/>
      </c>
      <c r="K78" s="34" t="str">
        <f t="shared" si="20"/>
        <v/>
      </c>
      <c r="L78" s="34" t="str">
        <f t="shared" si="21"/>
        <v/>
      </c>
      <c r="M78" s="33" t="str">
        <f>IF(G78="","",IFERROR(VLOOKUP(G78,Kategorien!$A$2:$E$23,4,FALSE),1))</f>
        <v/>
      </c>
      <c r="N78" s="34" t="str">
        <f t="shared" si="22"/>
        <v/>
      </c>
      <c r="O78" s="34">
        <f t="shared" si="23"/>
        <v>0</v>
      </c>
      <c r="P78" s="29" t="str">
        <f t="shared" si="24"/>
        <v/>
      </c>
      <c r="Q78" s="29" t="str">
        <f t="shared" si="25"/>
        <v/>
      </c>
      <c r="R78" s="29" t="str">
        <f t="shared" si="26"/>
        <v/>
      </c>
      <c r="S78" s="34">
        <f t="shared" si="27"/>
        <v>0</v>
      </c>
      <c r="T78" s="34">
        <f t="shared" si="28"/>
        <v>0</v>
      </c>
      <c r="U78" s="38" t="str">
        <f t="shared" si="29"/>
        <v/>
      </c>
      <c r="V78" s="49" t="str">
        <f>IF(G78="","",IFERROR(VLOOKUP(G78,Kategorien!$A$2:$E$23,5,FALSE),""))</f>
        <v/>
      </c>
    </row>
    <row r="79" spans="1:22" x14ac:dyDescent="0.25">
      <c r="A79" s="21"/>
      <c r="B79" s="22"/>
      <c r="C79" s="29" t="str">
        <f>IF(G79="","",IFERROR(VLOOKUP(G79,Kategorien!$A$2:$E$23,2,FALSE),"Kategorie prüfen"))</f>
        <v/>
      </c>
      <c r="D79" s="22"/>
      <c r="E79" s="22"/>
      <c r="F79" s="22"/>
      <c r="G79" s="22"/>
      <c r="H79" s="22"/>
      <c r="I79" s="26"/>
      <c r="J79" s="33" t="str">
        <f>IF(G79="","",IFERROR(VLOOKUP(G79,Kategorien!$A$2:$E$23,3,FALSE),0))</f>
        <v/>
      </c>
      <c r="K79" s="34" t="str">
        <f t="shared" si="20"/>
        <v/>
      </c>
      <c r="L79" s="34" t="str">
        <f t="shared" si="21"/>
        <v/>
      </c>
      <c r="M79" s="33" t="str">
        <f>IF(G79="","",IFERROR(VLOOKUP(G79,Kategorien!$A$2:$E$23,4,FALSE),1))</f>
        <v/>
      </c>
      <c r="N79" s="34" t="str">
        <f t="shared" si="22"/>
        <v/>
      </c>
      <c r="O79" s="34">
        <f t="shared" si="23"/>
        <v>0</v>
      </c>
      <c r="P79" s="29" t="str">
        <f t="shared" si="24"/>
        <v/>
      </c>
      <c r="Q79" s="29" t="str">
        <f t="shared" si="25"/>
        <v/>
      </c>
      <c r="R79" s="29" t="str">
        <f t="shared" si="26"/>
        <v/>
      </c>
      <c r="S79" s="34">
        <f t="shared" si="27"/>
        <v>0</v>
      </c>
      <c r="T79" s="34">
        <f t="shared" si="28"/>
        <v>0</v>
      </c>
      <c r="U79" s="38" t="str">
        <f t="shared" si="29"/>
        <v/>
      </c>
      <c r="V79" s="49" t="str">
        <f>IF(G79="","",IFERROR(VLOOKUP(G79,Kategorien!$A$2:$E$23,5,FALSE),""))</f>
        <v/>
      </c>
    </row>
    <row r="80" spans="1:22" x14ac:dyDescent="0.25">
      <c r="A80" s="21"/>
      <c r="B80" s="22"/>
      <c r="C80" s="29" t="str">
        <f>IF(G80="","",IFERROR(VLOOKUP(G80,Kategorien!$A$2:$E$23,2,FALSE),"Kategorie prüfen"))</f>
        <v/>
      </c>
      <c r="D80" s="22"/>
      <c r="E80" s="22"/>
      <c r="F80" s="22"/>
      <c r="G80" s="22"/>
      <c r="H80" s="22"/>
      <c r="I80" s="26"/>
      <c r="J80" s="33" t="str">
        <f>IF(G80="","",IFERROR(VLOOKUP(G80,Kategorien!$A$2:$E$23,3,FALSE),0))</f>
        <v/>
      </c>
      <c r="K80" s="34" t="str">
        <f t="shared" si="20"/>
        <v/>
      </c>
      <c r="L80" s="34" t="str">
        <f t="shared" si="21"/>
        <v/>
      </c>
      <c r="M80" s="33" t="str">
        <f>IF(G80="","",IFERROR(VLOOKUP(G80,Kategorien!$A$2:$E$23,4,FALSE),1))</f>
        <v/>
      </c>
      <c r="N80" s="34" t="str">
        <f t="shared" si="22"/>
        <v/>
      </c>
      <c r="O80" s="34">
        <f t="shared" si="23"/>
        <v>0</v>
      </c>
      <c r="P80" s="29" t="str">
        <f t="shared" si="24"/>
        <v/>
      </c>
      <c r="Q80" s="29" t="str">
        <f t="shared" si="25"/>
        <v/>
      </c>
      <c r="R80" s="29" t="str">
        <f t="shared" si="26"/>
        <v/>
      </c>
      <c r="S80" s="34">
        <f t="shared" si="27"/>
        <v>0</v>
      </c>
      <c r="T80" s="34">
        <f t="shared" si="28"/>
        <v>0</v>
      </c>
      <c r="U80" s="38" t="str">
        <f t="shared" si="29"/>
        <v/>
      </c>
      <c r="V80" s="49" t="str">
        <f>IF(G80="","",IFERROR(VLOOKUP(G80,Kategorien!$A$2:$E$23,5,FALSE),""))</f>
        <v/>
      </c>
    </row>
    <row r="81" spans="1:22" x14ac:dyDescent="0.25">
      <c r="A81" s="21"/>
      <c r="B81" s="22"/>
      <c r="C81" s="29" t="str">
        <f>IF(G81="","",IFERROR(VLOOKUP(G81,Kategorien!$A$2:$E$23,2,FALSE),"Kategorie prüfen"))</f>
        <v/>
      </c>
      <c r="D81" s="22"/>
      <c r="E81" s="22"/>
      <c r="F81" s="22"/>
      <c r="G81" s="22"/>
      <c r="H81" s="22"/>
      <c r="I81" s="26"/>
      <c r="J81" s="33" t="str">
        <f>IF(G81="","",IFERROR(VLOOKUP(G81,Kategorien!$A$2:$E$23,3,FALSE),0))</f>
        <v/>
      </c>
      <c r="K81" s="34" t="str">
        <f t="shared" si="20"/>
        <v/>
      </c>
      <c r="L81" s="34" t="str">
        <f t="shared" si="21"/>
        <v/>
      </c>
      <c r="M81" s="33" t="str">
        <f>IF(G81="","",IFERROR(VLOOKUP(G81,Kategorien!$A$2:$E$23,4,FALSE),1))</f>
        <v/>
      </c>
      <c r="N81" s="34" t="str">
        <f t="shared" si="22"/>
        <v/>
      </c>
      <c r="O81" s="34">
        <f t="shared" si="23"/>
        <v>0</v>
      </c>
      <c r="P81" s="29" t="str">
        <f t="shared" si="24"/>
        <v/>
      </c>
      <c r="Q81" s="29" t="str">
        <f t="shared" si="25"/>
        <v/>
      </c>
      <c r="R81" s="29" t="str">
        <f t="shared" si="26"/>
        <v/>
      </c>
      <c r="S81" s="34">
        <f t="shared" si="27"/>
        <v>0</v>
      </c>
      <c r="T81" s="34">
        <f t="shared" si="28"/>
        <v>0</v>
      </c>
      <c r="U81" s="38" t="str">
        <f t="shared" si="29"/>
        <v/>
      </c>
      <c r="V81" s="49" t="str">
        <f>IF(G81="","",IFERROR(VLOOKUP(G81,Kategorien!$A$2:$E$23,5,FALSE),""))</f>
        <v/>
      </c>
    </row>
    <row r="82" spans="1:22" x14ac:dyDescent="0.25">
      <c r="A82" s="21"/>
      <c r="B82" s="22"/>
      <c r="C82" s="29" t="str">
        <f>IF(G82="","",IFERROR(VLOOKUP(G82,Kategorien!$A$2:$E$23,2,FALSE),"Kategorie prüfen"))</f>
        <v/>
      </c>
      <c r="D82" s="22"/>
      <c r="E82" s="22"/>
      <c r="F82" s="22"/>
      <c r="G82" s="22"/>
      <c r="H82" s="22"/>
      <c r="I82" s="26"/>
      <c r="J82" s="33" t="str">
        <f>IF(G82="","",IFERROR(VLOOKUP(G82,Kategorien!$A$2:$E$23,3,FALSE),0))</f>
        <v/>
      </c>
      <c r="K82" s="34" t="str">
        <f t="shared" si="20"/>
        <v/>
      </c>
      <c r="L82" s="34" t="str">
        <f t="shared" si="21"/>
        <v/>
      </c>
      <c r="M82" s="33" t="str">
        <f>IF(G82="","",IFERROR(VLOOKUP(G82,Kategorien!$A$2:$E$23,4,FALSE),1))</f>
        <v/>
      </c>
      <c r="N82" s="34" t="str">
        <f t="shared" si="22"/>
        <v/>
      </c>
      <c r="O82" s="34">
        <f t="shared" si="23"/>
        <v>0</v>
      </c>
      <c r="P82" s="29" t="str">
        <f t="shared" si="24"/>
        <v/>
      </c>
      <c r="Q82" s="29" t="str">
        <f t="shared" si="25"/>
        <v/>
      </c>
      <c r="R82" s="29" t="str">
        <f t="shared" si="26"/>
        <v/>
      </c>
      <c r="S82" s="34">
        <f t="shared" si="27"/>
        <v>0</v>
      </c>
      <c r="T82" s="34">
        <f t="shared" si="28"/>
        <v>0</v>
      </c>
      <c r="U82" s="38" t="str">
        <f t="shared" si="29"/>
        <v/>
      </c>
      <c r="V82" s="49" t="str">
        <f>IF(G82="","",IFERROR(VLOOKUP(G82,Kategorien!$A$2:$E$23,5,FALSE),""))</f>
        <v/>
      </c>
    </row>
    <row r="83" spans="1:22" x14ac:dyDescent="0.25">
      <c r="A83" s="21"/>
      <c r="B83" s="22"/>
      <c r="C83" s="29" t="str">
        <f>IF(G83="","",IFERROR(VLOOKUP(G83,Kategorien!$A$2:$E$23,2,FALSE),"Kategorie prüfen"))</f>
        <v/>
      </c>
      <c r="D83" s="22"/>
      <c r="E83" s="22"/>
      <c r="F83" s="22"/>
      <c r="G83" s="22"/>
      <c r="H83" s="22"/>
      <c r="I83" s="26"/>
      <c r="J83" s="33" t="str">
        <f>IF(G83="","",IFERROR(VLOOKUP(G83,Kategorien!$A$2:$E$23,3,FALSE),0))</f>
        <v/>
      </c>
      <c r="K83" s="34" t="str">
        <f t="shared" si="20"/>
        <v/>
      </c>
      <c r="L83" s="34" t="str">
        <f t="shared" si="21"/>
        <v/>
      </c>
      <c r="M83" s="33" t="str">
        <f>IF(G83="","",IFERROR(VLOOKUP(G83,Kategorien!$A$2:$E$23,4,FALSE),1))</f>
        <v/>
      </c>
      <c r="N83" s="34" t="str">
        <f t="shared" si="22"/>
        <v/>
      </c>
      <c r="O83" s="34">
        <f t="shared" si="23"/>
        <v>0</v>
      </c>
      <c r="P83" s="29" t="str">
        <f t="shared" si="24"/>
        <v/>
      </c>
      <c r="Q83" s="29" t="str">
        <f t="shared" si="25"/>
        <v/>
      </c>
      <c r="R83" s="29" t="str">
        <f t="shared" si="26"/>
        <v/>
      </c>
      <c r="S83" s="34">
        <f t="shared" si="27"/>
        <v>0</v>
      </c>
      <c r="T83" s="34">
        <f t="shared" si="28"/>
        <v>0</v>
      </c>
      <c r="U83" s="38" t="str">
        <f t="shared" si="29"/>
        <v/>
      </c>
      <c r="V83" s="49" t="str">
        <f>IF(G83="","",IFERROR(VLOOKUP(G83,Kategorien!$A$2:$E$23,5,FALSE),""))</f>
        <v/>
      </c>
    </row>
    <row r="84" spans="1:22" x14ac:dyDescent="0.25">
      <c r="A84" s="21"/>
      <c r="B84" s="22"/>
      <c r="C84" s="29" t="str">
        <f>IF(G84="","",IFERROR(VLOOKUP(G84,Kategorien!$A$2:$E$23,2,FALSE),"Kategorie prüfen"))</f>
        <v/>
      </c>
      <c r="D84" s="22"/>
      <c r="E84" s="22"/>
      <c r="F84" s="22"/>
      <c r="G84" s="22"/>
      <c r="H84" s="22"/>
      <c r="I84" s="26"/>
      <c r="J84" s="33" t="str">
        <f>IF(G84="","",IFERROR(VLOOKUP(G84,Kategorien!$A$2:$E$23,3,FALSE),0))</f>
        <v/>
      </c>
      <c r="K84" s="34" t="str">
        <f t="shared" si="20"/>
        <v/>
      </c>
      <c r="L84" s="34" t="str">
        <f t="shared" si="21"/>
        <v/>
      </c>
      <c r="M84" s="33" t="str">
        <f>IF(G84="","",IFERROR(VLOOKUP(G84,Kategorien!$A$2:$E$23,4,FALSE),1))</f>
        <v/>
      </c>
      <c r="N84" s="34" t="str">
        <f t="shared" si="22"/>
        <v/>
      </c>
      <c r="O84" s="34">
        <f t="shared" si="23"/>
        <v>0</v>
      </c>
      <c r="P84" s="29" t="str">
        <f t="shared" si="24"/>
        <v/>
      </c>
      <c r="Q84" s="29" t="str">
        <f t="shared" si="25"/>
        <v/>
      </c>
      <c r="R84" s="29" t="str">
        <f t="shared" si="26"/>
        <v/>
      </c>
      <c r="S84" s="34">
        <f t="shared" si="27"/>
        <v>0</v>
      </c>
      <c r="T84" s="34">
        <f t="shared" si="28"/>
        <v>0</v>
      </c>
      <c r="U84" s="38" t="str">
        <f t="shared" si="29"/>
        <v/>
      </c>
      <c r="V84" s="49" t="str">
        <f>IF(G84="","",IFERROR(VLOOKUP(G84,Kategorien!$A$2:$E$23,5,FALSE),""))</f>
        <v/>
      </c>
    </row>
    <row r="85" spans="1:22" x14ac:dyDescent="0.25">
      <c r="A85" s="21"/>
      <c r="B85" s="22"/>
      <c r="C85" s="29" t="str">
        <f>IF(G85="","",IFERROR(VLOOKUP(G85,Kategorien!$A$2:$E$23,2,FALSE),"Kategorie prüfen"))</f>
        <v/>
      </c>
      <c r="D85" s="22"/>
      <c r="E85" s="22"/>
      <c r="F85" s="22"/>
      <c r="G85" s="22"/>
      <c r="H85" s="22"/>
      <c r="I85" s="26"/>
      <c r="J85" s="33" t="str">
        <f>IF(G85="","",IFERROR(VLOOKUP(G85,Kategorien!$A$2:$E$23,3,FALSE),0))</f>
        <v/>
      </c>
      <c r="K85" s="34" t="str">
        <f t="shared" si="20"/>
        <v/>
      </c>
      <c r="L85" s="34" t="str">
        <f t="shared" si="21"/>
        <v/>
      </c>
      <c r="M85" s="33" t="str">
        <f>IF(G85="","",IFERROR(VLOOKUP(G85,Kategorien!$A$2:$E$23,4,FALSE),1))</f>
        <v/>
      </c>
      <c r="N85" s="34" t="str">
        <f t="shared" si="22"/>
        <v/>
      </c>
      <c r="O85" s="34">
        <f t="shared" si="23"/>
        <v>0</v>
      </c>
      <c r="P85" s="29" t="str">
        <f t="shared" si="24"/>
        <v/>
      </c>
      <c r="Q85" s="29" t="str">
        <f t="shared" si="25"/>
        <v/>
      </c>
      <c r="R85" s="29" t="str">
        <f t="shared" si="26"/>
        <v/>
      </c>
      <c r="S85" s="34">
        <f t="shared" si="27"/>
        <v>0</v>
      </c>
      <c r="T85" s="34">
        <f t="shared" si="28"/>
        <v>0</v>
      </c>
      <c r="U85" s="38" t="str">
        <f t="shared" si="29"/>
        <v/>
      </c>
      <c r="V85" s="49" t="str">
        <f>IF(G85="","",IFERROR(VLOOKUP(G85,Kategorien!$A$2:$E$23,5,FALSE),""))</f>
        <v/>
      </c>
    </row>
    <row r="86" spans="1:22" x14ac:dyDescent="0.25">
      <c r="A86" s="21"/>
      <c r="B86" s="22"/>
      <c r="C86" s="29" t="str">
        <f>IF(G86="","",IFERROR(VLOOKUP(G86,Kategorien!$A$2:$E$23,2,FALSE),"Kategorie prüfen"))</f>
        <v/>
      </c>
      <c r="D86" s="22"/>
      <c r="E86" s="22"/>
      <c r="F86" s="22"/>
      <c r="G86" s="22"/>
      <c r="H86" s="22"/>
      <c r="I86" s="26"/>
      <c r="J86" s="33" t="str">
        <f>IF(G86="","",IFERROR(VLOOKUP(G86,Kategorien!$A$2:$E$23,3,FALSE),0))</f>
        <v/>
      </c>
      <c r="K86" s="34" t="str">
        <f t="shared" si="20"/>
        <v/>
      </c>
      <c r="L86" s="34" t="str">
        <f t="shared" si="21"/>
        <v/>
      </c>
      <c r="M86" s="33" t="str">
        <f>IF(G86="","",IFERROR(VLOOKUP(G86,Kategorien!$A$2:$E$23,4,FALSE),1))</f>
        <v/>
      </c>
      <c r="N86" s="34" t="str">
        <f t="shared" si="22"/>
        <v/>
      </c>
      <c r="O86" s="34">
        <f t="shared" si="23"/>
        <v>0</v>
      </c>
      <c r="P86" s="29" t="str">
        <f t="shared" si="24"/>
        <v/>
      </c>
      <c r="Q86" s="29" t="str">
        <f t="shared" si="25"/>
        <v/>
      </c>
      <c r="R86" s="29" t="str">
        <f t="shared" si="26"/>
        <v/>
      </c>
      <c r="S86" s="34">
        <f t="shared" si="27"/>
        <v>0</v>
      </c>
      <c r="T86" s="34">
        <f t="shared" si="28"/>
        <v>0</v>
      </c>
      <c r="U86" s="38" t="str">
        <f t="shared" si="29"/>
        <v/>
      </c>
      <c r="V86" s="49" t="str">
        <f>IF(G86="","",IFERROR(VLOOKUP(G86,Kategorien!$A$2:$E$23,5,FALSE),""))</f>
        <v/>
      </c>
    </row>
    <row r="87" spans="1:22" x14ac:dyDescent="0.25">
      <c r="A87" s="21"/>
      <c r="B87" s="22"/>
      <c r="C87" s="29" t="str">
        <f>IF(G87="","",IFERROR(VLOOKUP(G87,Kategorien!$A$2:$E$23,2,FALSE),"Kategorie prüfen"))</f>
        <v/>
      </c>
      <c r="D87" s="22"/>
      <c r="E87" s="22"/>
      <c r="F87" s="22"/>
      <c r="G87" s="22"/>
      <c r="H87" s="22"/>
      <c r="I87" s="26"/>
      <c r="J87" s="33" t="str">
        <f>IF(G87="","",IFERROR(VLOOKUP(G87,Kategorien!$A$2:$E$23,3,FALSE),0))</f>
        <v/>
      </c>
      <c r="K87" s="34" t="str">
        <f t="shared" si="20"/>
        <v/>
      </c>
      <c r="L87" s="34" t="str">
        <f t="shared" si="21"/>
        <v/>
      </c>
      <c r="M87" s="33" t="str">
        <f>IF(G87="","",IFERROR(VLOOKUP(G87,Kategorien!$A$2:$E$23,4,FALSE),1))</f>
        <v/>
      </c>
      <c r="N87" s="34" t="str">
        <f t="shared" si="22"/>
        <v/>
      </c>
      <c r="O87" s="34">
        <f t="shared" si="23"/>
        <v>0</v>
      </c>
      <c r="P87" s="29" t="str">
        <f t="shared" si="24"/>
        <v/>
      </c>
      <c r="Q87" s="29" t="str">
        <f t="shared" si="25"/>
        <v/>
      </c>
      <c r="R87" s="29" t="str">
        <f t="shared" si="26"/>
        <v/>
      </c>
      <c r="S87" s="34">
        <f t="shared" si="27"/>
        <v>0</v>
      </c>
      <c r="T87" s="34">
        <f t="shared" si="28"/>
        <v>0</v>
      </c>
      <c r="U87" s="38" t="str">
        <f t="shared" si="29"/>
        <v/>
      </c>
      <c r="V87" s="49" t="str">
        <f>IF(G87="","",IFERROR(VLOOKUP(G87,Kategorien!$A$2:$E$23,5,FALSE),""))</f>
        <v/>
      </c>
    </row>
    <row r="88" spans="1:22" x14ac:dyDescent="0.25">
      <c r="A88" s="21"/>
      <c r="B88" s="22"/>
      <c r="C88" s="29" t="str">
        <f>IF(G88="","",IFERROR(VLOOKUP(G88,Kategorien!$A$2:$E$23,2,FALSE),"Kategorie prüfen"))</f>
        <v/>
      </c>
      <c r="D88" s="22"/>
      <c r="E88" s="22"/>
      <c r="F88" s="22"/>
      <c r="G88" s="22"/>
      <c r="H88" s="22"/>
      <c r="I88" s="26"/>
      <c r="J88" s="33" t="str">
        <f>IF(G88="","",IFERROR(VLOOKUP(G88,Kategorien!$A$2:$E$23,3,FALSE),0))</f>
        <v/>
      </c>
      <c r="K88" s="34" t="str">
        <f t="shared" si="20"/>
        <v/>
      </c>
      <c r="L88" s="34" t="str">
        <f t="shared" si="21"/>
        <v/>
      </c>
      <c r="M88" s="33" t="str">
        <f>IF(G88="","",IFERROR(VLOOKUP(G88,Kategorien!$A$2:$E$23,4,FALSE),1))</f>
        <v/>
      </c>
      <c r="N88" s="34" t="str">
        <f t="shared" si="22"/>
        <v/>
      </c>
      <c r="O88" s="34">
        <f t="shared" si="23"/>
        <v>0</v>
      </c>
      <c r="P88" s="29" t="str">
        <f t="shared" si="24"/>
        <v/>
      </c>
      <c r="Q88" s="29" t="str">
        <f t="shared" si="25"/>
        <v/>
      </c>
      <c r="R88" s="29" t="str">
        <f t="shared" si="26"/>
        <v/>
      </c>
      <c r="S88" s="34">
        <f t="shared" si="27"/>
        <v>0</v>
      </c>
      <c r="T88" s="34">
        <f t="shared" si="28"/>
        <v>0</v>
      </c>
      <c r="U88" s="38" t="str">
        <f t="shared" si="29"/>
        <v/>
      </c>
      <c r="V88" s="49" t="str">
        <f>IF(G88="","",IFERROR(VLOOKUP(G88,Kategorien!$A$2:$E$23,5,FALSE),""))</f>
        <v/>
      </c>
    </row>
    <row r="89" spans="1:22" x14ac:dyDescent="0.25">
      <c r="A89" s="21"/>
      <c r="B89" s="22"/>
      <c r="C89" s="29" t="str">
        <f>IF(G89="","",IFERROR(VLOOKUP(G89,Kategorien!$A$2:$E$23,2,FALSE),"Kategorie prüfen"))</f>
        <v/>
      </c>
      <c r="D89" s="22"/>
      <c r="E89" s="22"/>
      <c r="F89" s="22"/>
      <c r="G89" s="22"/>
      <c r="H89" s="22"/>
      <c r="I89" s="26"/>
      <c r="J89" s="33" t="str">
        <f>IF(G89="","",IFERROR(VLOOKUP(G89,Kategorien!$A$2:$E$23,3,FALSE),0))</f>
        <v/>
      </c>
      <c r="K89" s="34" t="str">
        <f t="shared" si="20"/>
        <v/>
      </c>
      <c r="L89" s="34" t="str">
        <f t="shared" si="21"/>
        <v/>
      </c>
      <c r="M89" s="33" t="str">
        <f>IF(G89="","",IFERROR(VLOOKUP(G89,Kategorien!$A$2:$E$23,4,FALSE),1))</f>
        <v/>
      </c>
      <c r="N89" s="34" t="str">
        <f t="shared" si="22"/>
        <v/>
      </c>
      <c r="O89" s="34">
        <f t="shared" si="23"/>
        <v>0</v>
      </c>
      <c r="P89" s="29" t="str">
        <f t="shared" si="24"/>
        <v/>
      </c>
      <c r="Q89" s="29" t="str">
        <f t="shared" si="25"/>
        <v/>
      </c>
      <c r="R89" s="29" t="str">
        <f t="shared" si="26"/>
        <v/>
      </c>
      <c r="S89" s="34">
        <f t="shared" si="27"/>
        <v>0</v>
      </c>
      <c r="T89" s="34">
        <f t="shared" si="28"/>
        <v>0</v>
      </c>
      <c r="U89" s="38" t="str">
        <f t="shared" si="29"/>
        <v/>
      </c>
      <c r="V89" s="49" t="str">
        <f>IF(G89="","",IFERROR(VLOOKUP(G89,Kategorien!$A$2:$E$23,5,FALSE),""))</f>
        <v/>
      </c>
    </row>
    <row r="90" spans="1:22" x14ac:dyDescent="0.25">
      <c r="A90" s="21"/>
      <c r="B90" s="22"/>
      <c r="C90" s="29" t="str">
        <f>IF(G90="","",IFERROR(VLOOKUP(G90,Kategorien!$A$2:$E$23,2,FALSE),"Kategorie prüfen"))</f>
        <v/>
      </c>
      <c r="D90" s="22"/>
      <c r="E90" s="22"/>
      <c r="F90" s="22"/>
      <c r="G90" s="22"/>
      <c r="H90" s="22"/>
      <c r="I90" s="26"/>
      <c r="J90" s="33" t="str">
        <f>IF(G90="","",IFERROR(VLOOKUP(G90,Kategorien!$A$2:$E$23,3,FALSE),0))</f>
        <v/>
      </c>
      <c r="K90" s="34" t="str">
        <f t="shared" si="20"/>
        <v/>
      </c>
      <c r="L90" s="34" t="str">
        <f t="shared" si="21"/>
        <v/>
      </c>
      <c r="M90" s="33" t="str">
        <f>IF(G90="","",IFERROR(VLOOKUP(G90,Kategorien!$A$2:$E$23,4,FALSE),1))</f>
        <v/>
      </c>
      <c r="N90" s="34" t="str">
        <f t="shared" si="22"/>
        <v/>
      </c>
      <c r="O90" s="34">
        <f t="shared" si="23"/>
        <v>0</v>
      </c>
      <c r="P90" s="29" t="str">
        <f t="shared" si="24"/>
        <v/>
      </c>
      <c r="Q90" s="29" t="str">
        <f t="shared" si="25"/>
        <v/>
      </c>
      <c r="R90" s="29" t="str">
        <f t="shared" si="26"/>
        <v/>
      </c>
      <c r="S90" s="34">
        <f t="shared" si="27"/>
        <v>0</v>
      </c>
      <c r="T90" s="34">
        <f t="shared" si="28"/>
        <v>0</v>
      </c>
      <c r="U90" s="38" t="str">
        <f t="shared" si="29"/>
        <v/>
      </c>
      <c r="V90" s="49" t="str">
        <f>IF(G90="","",IFERROR(VLOOKUP(G90,Kategorien!$A$2:$E$23,5,FALSE),""))</f>
        <v/>
      </c>
    </row>
    <row r="91" spans="1:22" x14ac:dyDescent="0.25">
      <c r="A91" s="21"/>
      <c r="B91" s="22"/>
      <c r="C91" s="29" t="str">
        <f>IF(G91="","",IFERROR(VLOOKUP(G91,Kategorien!$A$2:$E$23,2,FALSE),"Kategorie prüfen"))</f>
        <v/>
      </c>
      <c r="D91" s="22"/>
      <c r="E91" s="22"/>
      <c r="F91" s="22"/>
      <c r="G91" s="22"/>
      <c r="H91" s="22"/>
      <c r="I91" s="26"/>
      <c r="J91" s="33" t="str">
        <f>IF(G91="","",IFERROR(VLOOKUP(G91,Kategorien!$A$2:$E$23,3,FALSE),0))</f>
        <v/>
      </c>
      <c r="K91" s="34" t="str">
        <f t="shared" si="20"/>
        <v/>
      </c>
      <c r="L91" s="34" t="str">
        <f t="shared" si="21"/>
        <v/>
      </c>
      <c r="M91" s="33" t="str">
        <f>IF(G91="","",IFERROR(VLOOKUP(G91,Kategorien!$A$2:$E$23,4,FALSE),1))</f>
        <v/>
      </c>
      <c r="N91" s="34" t="str">
        <f t="shared" si="22"/>
        <v/>
      </c>
      <c r="O91" s="34">
        <f t="shared" si="23"/>
        <v>0</v>
      </c>
      <c r="P91" s="29" t="str">
        <f t="shared" si="24"/>
        <v/>
      </c>
      <c r="Q91" s="29" t="str">
        <f t="shared" si="25"/>
        <v/>
      </c>
      <c r="R91" s="29" t="str">
        <f t="shared" si="26"/>
        <v/>
      </c>
      <c r="S91" s="34">
        <f t="shared" si="27"/>
        <v>0</v>
      </c>
      <c r="T91" s="34">
        <f t="shared" si="28"/>
        <v>0</v>
      </c>
      <c r="U91" s="38" t="str">
        <f t="shared" si="29"/>
        <v/>
      </c>
      <c r="V91" s="49" t="str">
        <f>IF(G91="","",IFERROR(VLOOKUP(G91,Kategorien!$A$2:$E$23,5,FALSE),""))</f>
        <v/>
      </c>
    </row>
    <row r="92" spans="1:22" x14ac:dyDescent="0.25">
      <c r="A92" s="21"/>
      <c r="B92" s="22"/>
      <c r="C92" s="29" t="str">
        <f>IF(G92="","",IFERROR(VLOOKUP(G92,Kategorien!$A$2:$E$23,2,FALSE),"Kategorie prüfen"))</f>
        <v/>
      </c>
      <c r="D92" s="22"/>
      <c r="E92" s="22"/>
      <c r="F92" s="22"/>
      <c r="G92" s="22"/>
      <c r="H92" s="22"/>
      <c r="I92" s="26"/>
      <c r="J92" s="33" t="str">
        <f>IF(G92="","",IFERROR(VLOOKUP(G92,Kategorien!$A$2:$E$23,3,FALSE),0))</f>
        <v/>
      </c>
      <c r="K92" s="34" t="str">
        <f t="shared" si="20"/>
        <v/>
      </c>
      <c r="L92" s="34" t="str">
        <f t="shared" si="21"/>
        <v/>
      </c>
      <c r="M92" s="33" t="str">
        <f>IF(G92="","",IFERROR(VLOOKUP(G92,Kategorien!$A$2:$E$23,4,FALSE),1))</f>
        <v/>
      </c>
      <c r="N92" s="34" t="str">
        <f t="shared" si="22"/>
        <v/>
      </c>
      <c r="O92" s="34">
        <f t="shared" si="23"/>
        <v>0</v>
      </c>
      <c r="P92" s="29" t="str">
        <f t="shared" si="24"/>
        <v/>
      </c>
      <c r="Q92" s="29" t="str">
        <f t="shared" si="25"/>
        <v/>
      </c>
      <c r="R92" s="29" t="str">
        <f t="shared" si="26"/>
        <v/>
      </c>
      <c r="S92" s="34">
        <f t="shared" si="27"/>
        <v>0</v>
      </c>
      <c r="T92" s="34">
        <f t="shared" si="28"/>
        <v>0</v>
      </c>
      <c r="U92" s="38" t="str">
        <f t="shared" si="29"/>
        <v/>
      </c>
      <c r="V92" s="49" t="str">
        <f>IF(G92="","",IFERROR(VLOOKUP(G92,Kategorien!$A$2:$E$23,5,FALSE),""))</f>
        <v/>
      </c>
    </row>
    <row r="93" spans="1:22" x14ac:dyDescent="0.25">
      <c r="A93" s="21"/>
      <c r="B93" s="22"/>
      <c r="C93" s="29" t="str">
        <f>IF(G93="","",IFERROR(VLOOKUP(G93,Kategorien!$A$2:$E$23,2,FALSE),"Kategorie prüfen"))</f>
        <v/>
      </c>
      <c r="D93" s="22"/>
      <c r="E93" s="22"/>
      <c r="F93" s="22"/>
      <c r="G93" s="22"/>
      <c r="H93" s="22"/>
      <c r="I93" s="26"/>
      <c r="J93" s="33" t="str">
        <f>IF(G93="","",IFERROR(VLOOKUP(G93,Kategorien!$A$2:$E$23,3,FALSE),0))</f>
        <v/>
      </c>
      <c r="K93" s="34" t="str">
        <f t="shared" si="20"/>
        <v/>
      </c>
      <c r="L93" s="34" t="str">
        <f t="shared" si="21"/>
        <v/>
      </c>
      <c r="M93" s="33" t="str">
        <f>IF(G93="","",IFERROR(VLOOKUP(G93,Kategorien!$A$2:$E$23,4,FALSE),1))</f>
        <v/>
      </c>
      <c r="N93" s="34" t="str">
        <f t="shared" si="22"/>
        <v/>
      </c>
      <c r="O93" s="34">
        <f t="shared" si="23"/>
        <v>0</v>
      </c>
      <c r="P93" s="29" t="str">
        <f t="shared" si="24"/>
        <v/>
      </c>
      <c r="Q93" s="29" t="str">
        <f t="shared" si="25"/>
        <v/>
      </c>
      <c r="R93" s="29" t="str">
        <f t="shared" si="26"/>
        <v/>
      </c>
      <c r="S93" s="34">
        <f t="shared" si="27"/>
        <v>0</v>
      </c>
      <c r="T93" s="34">
        <f t="shared" si="28"/>
        <v>0</v>
      </c>
      <c r="U93" s="38" t="str">
        <f t="shared" si="29"/>
        <v/>
      </c>
      <c r="V93" s="49" t="str">
        <f>IF(G93="","",IFERROR(VLOOKUP(G93,Kategorien!$A$2:$E$23,5,FALSE),""))</f>
        <v/>
      </c>
    </row>
    <row r="94" spans="1:22" x14ac:dyDescent="0.25">
      <c r="A94" s="21"/>
      <c r="B94" s="22"/>
      <c r="C94" s="29" t="str">
        <f>IF(G94="","",IFERROR(VLOOKUP(G94,Kategorien!$A$2:$E$23,2,FALSE),"Kategorie prüfen"))</f>
        <v/>
      </c>
      <c r="D94" s="22"/>
      <c r="E94" s="22"/>
      <c r="F94" s="22"/>
      <c r="G94" s="22"/>
      <c r="H94" s="22"/>
      <c r="I94" s="26"/>
      <c r="J94" s="33" t="str">
        <f>IF(G94="","",IFERROR(VLOOKUP(G94,Kategorien!$A$2:$E$23,3,FALSE),0))</f>
        <v/>
      </c>
      <c r="K94" s="34" t="str">
        <f t="shared" si="20"/>
        <v/>
      </c>
      <c r="L94" s="34" t="str">
        <f t="shared" si="21"/>
        <v/>
      </c>
      <c r="M94" s="33" t="str">
        <f>IF(G94="","",IFERROR(VLOOKUP(G94,Kategorien!$A$2:$E$23,4,FALSE),1))</f>
        <v/>
      </c>
      <c r="N94" s="34" t="str">
        <f t="shared" si="22"/>
        <v/>
      </c>
      <c r="O94" s="34">
        <f t="shared" si="23"/>
        <v>0</v>
      </c>
      <c r="P94" s="29" t="str">
        <f t="shared" si="24"/>
        <v/>
      </c>
      <c r="Q94" s="29" t="str">
        <f t="shared" si="25"/>
        <v/>
      </c>
      <c r="R94" s="29" t="str">
        <f t="shared" si="26"/>
        <v/>
      </c>
      <c r="S94" s="34">
        <f t="shared" si="27"/>
        <v>0</v>
      </c>
      <c r="T94" s="34">
        <f t="shared" si="28"/>
        <v>0</v>
      </c>
      <c r="U94" s="38" t="str">
        <f t="shared" si="29"/>
        <v/>
      </c>
      <c r="V94" s="49" t="str">
        <f>IF(G94="","",IFERROR(VLOOKUP(G94,Kategorien!$A$2:$E$23,5,FALSE),""))</f>
        <v/>
      </c>
    </row>
    <row r="95" spans="1:22" x14ac:dyDescent="0.25">
      <c r="A95" s="21"/>
      <c r="B95" s="22"/>
      <c r="C95" s="29" t="str">
        <f>IF(G95="","",IFERROR(VLOOKUP(G95,Kategorien!$A$2:$E$23,2,FALSE),"Kategorie prüfen"))</f>
        <v/>
      </c>
      <c r="D95" s="22"/>
      <c r="E95" s="22"/>
      <c r="F95" s="22"/>
      <c r="G95" s="22"/>
      <c r="H95" s="22"/>
      <c r="I95" s="26"/>
      <c r="J95" s="33" t="str">
        <f>IF(G95="","",IFERROR(VLOOKUP(G95,Kategorien!$A$2:$E$23,3,FALSE),0))</f>
        <v/>
      </c>
      <c r="K95" s="34" t="str">
        <f t="shared" si="20"/>
        <v/>
      </c>
      <c r="L95" s="34" t="str">
        <f t="shared" si="21"/>
        <v/>
      </c>
      <c r="M95" s="33" t="str">
        <f>IF(G95="","",IFERROR(VLOOKUP(G95,Kategorien!$A$2:$E$23,4,FALSE),1))</f>
        <v/>
      </c>
      <c r="N95" s="34" t="str">
        <f t="shared" si="22"/>
        <v/>
      </c>
      <c r="O95" s="34">
        <f t="shared" si="23"/>
        <v>0</v>
      </c>
      <c r="P95" s="29" t="str">
        <f t="shared" si="24"/>
        <v/>
      </c>
      <c r="Q95" s="29" t="str">
        <f t="shared" si="25"/>
        <v/>
      </c>
      <c r="R95" s="29" t="str">
        <f t="shared" si="26"/>
        <v/>
      </c>
      <c r="S95" s="34">
        <f t="shared" si="27"/>
        <v>0</v>
      </c>
      <c r="T95" s="34">
        <f t="shared" si="28"/>
        <v>0</v>
      </c>
      <c r="U95" s="38" t="str">
        <f t="shared" si="29"/>
        <v/>
      </c>
      <c r="V95" s="49" t="str">
        <f>IF(G95="","",IFERROR(VLOOKUP(G95,Kategorien!$A$2:$E$23,5,FALSE),""))</f>
        <v/>
      </c>
    </row>
    <row r="96" spans="1:22" x14ac:dyDescent="0.25">
      <c r="A96" s="21"/>
      <c r="B96" s="22"/>
      <c r="C96" s="29" t="str">
        <f>IF(G96="","",IFERROR(VLOOKUP(G96,Kategorien!$A$2:$E$23,2,FALSE),"Kategorie prüfen"))</f>
        <v/>
      </c>
      <c r="D96" s="22"/>
      <c r="E96" s="22"/>
      <c r="F96" s="22"/>
      <c r="G96" s="22"/>
      <c r="H96" s="22"/>
      <c r="I96" s="26"/>
      <c r="J96" s="33" t="str">
        <f>IF(G96="","",IFERROR(VLOOKUP(G96,Kategorien!$A$2:$E$23,3,FALSE),0))</f>
        <v/>
      </c>
      <c r="K96" s="34" t="str">
        <f t="shared" si="20"/>
        <v/>
      </c>
      <c r="L96" s="34" t="str">
        <f t="shared" si="21"/>
        <v/>
      </c>
      <c r="M96" s="33" t="str">
        <f>IF(G96="","",IFERROR(VLOOKUP(G96,Kategorien!$A$2:$E$23,4,FALSE),1))</f>
        <v/>
      </c>
      <c r="N96" s="34" t="str">
        <f t="shared" si="22"/>
        <v/>
      </c>
      <c r="O96" s="34">
        <f t="shared" si="23"/>
        <v>0</v>
      </c>
      <c r="P96" s="29" t="str">
        <f t="shared" si="24"/>
        <v/>
      </c>
      <c r="Q96" s="29" t="str">
        <f t="shared" si="25"/>
        <v/>
      </c>
      <c r="R96" s="29" t="str">
        <f t="shared" si="26"/>
        <v/>
      </c>
      <c r="S96" s="34">
        <f t="shared" si="27"/>
        <v>0</v>
      </c>
      <c r="T96" s="34">
        <f t="shared" si="28"/>
        <v>0</v>
      </c>
      <c r="U96" s="38" t="str">
        <f t="shared" si="29"/>
        <v/>
      </c>
      <c r="V96" s="49" t="str">
        <f>IF(G96="","",IFERROR(VLOOKUP(G96,Kategorien!$A$2:$E$23,5,FALSE),""))</f>
        <v/>
      </c>
    </row>
    <row r="97" spans="1:22" x14ac:dyDescent="0.25">
      <c r="A97" s="21"/>
      <c r="B97" s="22"/>
      <c r="C97" s="29" t="str">
        <f>IF(G97="","",IFERROR(VLOOKUP(G97,Kategorien!$A$2:$E$23,2,FALSE),"Kategorie prüfen"))</f>
        <v/>
      </c>
      <c r="D97" s="22"/>
      <c r="E97" s="22"/>
      <c r="F97" s="22"/>
      <c r="G97" s="22"/>
      <c r="H97" s="22"/>
      <c r="I97" s="26"/>
      <c r="J97" s="33" t="str">
        <f>IF(G97="","",IFERROR(VLOOKUP(G97,Kategorien!$A$2:$E$23,3,FALSE),0))</f>
        <v/>
      </c>
      <c r="K97" s="34" t="str">
        <f t="shared" si="20"/>
        <v/>
      </c>
      <c r="L97" s="34" t="str">
        <f t="shared" si="21"/>
        <v/>
      </c>
      <c r="M97" s="33" t="str">
        <f>IF(G97="","",IFERROR(VLOOKUP(G97,Kategorien!$A$2:$E$23,4,FALSE),1))</f>
        <v/>
      </c>
      <c r="N97" s="34" t="str">
        <f t="shared" si="22"/>
        <v/>
      </c>
      <c r="O97" s="34">
        <f t="shared" si="23"/>
        <v>0</v>
      </c>
      <c r="P97" s="29" t="str">
        <f t="shared" si="24"/>
        <v/>
      </c>
      <c r="Q97" s="29" t="str">
        <f t="shared" si="25"/>
        <v/>
      </c>
      <c r="R97" s="29" t="str">
        <f t="shared" si="26"/>
        <v/>
      </c>
      <c r="S97" s="34">
        <f t="shared" si="27"/>
        <v>0</v>
      </c>
      <c r="T97" s="34">
        <f t="shared" si="28"/>
        <v>0</v>
      </c>
      <c r="U97" s="38" t="str">
        <f t="shared" si="29"/>
        <v/>
      </c>
      <c r="V97" s="49" t="str">
        <f>IF(G97="","",IFERROR(VLOOKUP(G97,Kategorien!$A$2:$E$23,5,FALSE),""))</f>
        <v/>
      </c>
    </row>
    <row r="98" spans="1:22" x14ac:dyDescent="0.25">
      <c r="A98" s="21"/>
      <c r="B98" s="22"/>
      <c r="C98" s="29" t="str">
        <f>IF(G98="","",IFERROR(VLOOKUP(G98,Kategorien!$A$2:$E$23,2,FALSE),"Kategorie prüfen"))</f>
        <v/>
      </c>
      <c r="D98" s="22"/>
      <c r="E98" s="22"/>
      <c r="F98" s="22"/>
      <c r="G98" s="22"/>
      <c r="H98" s="22"/>
      <c r="I98" s="26"/>
      <c r="J98" s="33" t="str">
        <f>IF(G98="","",IFERROR(VLOOKUP(G98,Kategorien!$A$2:$E$23,3,FALSE),0))</f>
        <v/>
      </c>
      <c r="K98" s="34" t="str">
        <f t="shared" ref="K98:K129" si="30">IF(OR(A98="",I98=""),"",ROUND(I98/(1+J98),2))</f>
        <v/>
      </c>
      <c r="L98" s="34" t="str">
        <f t="shared" ref="L98:L129" si="31">IF(K98="","",ROUND(I98-K98,2))</f>
        <v/>
      </c>
      <c r="M98" s="33" t="str">
        <f>IF(G98="","",IFERROR(VLOOKUP(G98,Kategorien!$A$2:$E$23,4,FALSE),1))</f>
        <v/>
      </c>
      <c r="N98" s="34" t="str">
        <f t="shared" ref="N98:N129" si="32">IF(K98="","",IF(C98="Einnahme",K98,IF(C98="Ausgabe",-K98*M98,0)))</f>
        <v/>
      </c>
      <c r="O98" s="34">
        <f t="shared" ref="O98:O129" si="33">IF(OR(D98&lt;&gt;"Bezahlt",I98=""),0,IF(OR(C98="Einnahme",C98="Privateinlage"),I98,IF(OR(C98="Ausgabe",C98="Steuerzahlung",C98="Privatentnahme"),-I98,0)))</f>
        <v>0</v>
      </c>
      <c r="P98" s="29" t="str">
        <f t="shared" ref="P98:P129" si="34">IF(A98="","",MONTH(A98))</f>
        <v/>
      </c>
      <c r="Q98" s="29" t="str">
        <f t="shared" ref="Q98:Q129" si="35">IF(A98="","","Q"&amp;ROUNDUP(MONTH(A98)/3,0))</f>
        <v/>
      </c>
      <c r="R98" s="29" t="str">
        <f t="shared" ref="R98:R129" si="36">IF(A98="","",YEAR(A98))</f>
        <v/>
      </c>
      <c r="S98" s="34">
        <f t="shared" ref="S98:S129" si="37">IF(AND(C98="Einnahme",D98="Bezahlt"),L98,0)</f>
        <v>0</v>
      </c>
      <c r="T98" s="34">
        <f t="shared" ref="T98:T129" si="38">IF(AND(C98="Ausgabe",D98="Bezahlt"),L98*M98,0)</f>
        <v>0</v>
      </c>
      <c r="U98" s="38" t="str">
        <f t="shared" ref="U98:U129" si="39">IF(A98="","",IF(B98="","Beleg-Nr. fehlt",IF(I98&lt;=0,"Betrag prüfen",IF(C98="Kategorie prüfen","Kategorie prüfen",""))))</f>
        <v/>
      </c>
      <c r="V98" s="49" t="str">
        <f>IF(G98="","",IFERROR(VLOOKUP(G98,Kategorien!$A$2:$E$23,5,FALSE),""))</f>
        <v/>
      </c>
    </row>
    <row r="99" spans="1:22" x14ac:dyDescent="0.25">
      <c r="A99" s="21"/>
      <c r="B99" s="22"/>
      <c r="C99" s="29" t="str">
        <f>IF(G99="","",IFERROR(VLOOKUP(G99,Kategorien!$A$2:$E$23,2,FALSE),"Kategorie prüfen"))</f>
        <v/>
      </c>
      <c r="D99" s="22"/>
      <c r="E99" s="22"/>
      <c r="F99" s="22"/>
      <c r="G99" s="22"/>
      <c r="H99" s="22"/>
      <c r="I99" s="26"/>
      <c r="J99" s="33" t="str">
        <f>IF(G99="","",IFERROR(VLOOKUP(G99,Kategorien!$A$2:$E$23,3,FALSE),0))</f>
        <v/>
      </c>
      <c r="K99" s="34" t="str">
        <f t="shared" si="30"/>
        <v/>
      </c>
      <c r="L99" s="34" t="str">
        <f t="shared" si="31"/>
        <v/>
      </c>
      <c r="M99" s="33" t="str">
        <f>IF(G99="","",IFERROR(VLOOKUP(G99,Kategorien!$A$2:$E$23,4,FALSE),1))</f>
        <v/>
      </c>
      <c r="N99" s="34" t="str">
        <f t="shared" si="32"/>
        <v/>
      </c>
      <c r="O99" s="34">
        <f t="shared" si="33"/>
        <v>0</v>
      </c>
      <c r="P99" s="29" t="str">
        <f t="shared" si="34"/>
        <v/>
      </c>
      <c r="Q99" s="29" t="str">
        <f t="shared" si="35"/>
        <v/>
      </c>
      <c r="R99" s="29" t="str">
        <f t="shared" si="36"/>
        <v/>
      </c>
      <c r="S99" s="34">
        <f t="shared" si="37"/>
        <v>0</v>
      </c>
      <c r="T99" s="34">
        <f t="shared" si="38"/>
        <v>0</v>
      </c>
      <c r="U99" s="38" t="str">
        <f t="shared" si="39"/>
        <v/>
      </c>
      <c r="V99" s="49" t="str">
        <f>IF(G99="","",IFERROR(VLOOKUP(G99,Kategorien!$A$2:$E$23,5,FALSE),""))</f>
        <v/>
      </c>
    </row>
    <row r="100" spans="1:22" x14ac:dyDescent="0.25">
      <c r="A100" s="21"/>
      <c r="B100" s="22"/>
      <c r="C100" s="29" t="str">
        <f>IF(G100="","",IFERROR(VLOOKUP(G100,Kategorien!$A$2:$E$23,2,FALSE),"Kategorie prüfen"))</f>
        <v/>
      </c>
      <c r="D100" s="22"/>
      <c r="E100" s="22"/>
      <c r="F100" s="22"/>
      <c r="G100" s="22"/>
      <c r="H100" s="22"/>
      <c r="I100" s="26"/>
      <c r="J100" s="33" t="str">
        <f>IF(G100="","",IFERROR(VLOOKUP(G100,Kategorien!$A$2:$E$23,3,FALSE),0))</f>
        <v/>
      </c>
      <c r="K100" s="34" t="str">
        <f t="shared" si="30"/>
        <v/>
      </c>
      <c r="L100" s="34" t="str">
        <f t="shared" si="31"/>
        <v/>
      </c>
      <c r="M100" s="33" t="str">
        <f>IF(G100="","",IFERROR(VLOOKUP(G100,Kategorien!$A$2:$E$23,4,FALSE),1))</f>
        <v/>
      </c>
      <c r="N100" s="34" t="str">
        <f t="shared" si="32"/>
        <v/>
      </c>
      <c r="O100" s="34">
        <f t="shared" si="33"/>
        <v>0</v>
      </c>
      <c r="P100" s="29" t="str">
        <f t="shared" si="34"/>
        <v/>
      </c>
      <c r="Q100" s="29" t="str">
        <f t="shared" si="35"/>
        <v/>
      </c>
      <c r="R100" s="29" t="str">
        <f t="shared" si="36"/>
        <v/>
      </c>
      <c r="S100" s="34">
        <f t="shared" si="37"/>
        <v>0</v>
      </c>
      <c r="T100" s="34">
        <f t="shared" si="38"/>
        <v>0</v>
      </c>
      <c r="U100" s="38" t="str">
        <f t="shared" si="39"/>
        <v/>
      </c>
      <c r="V100" s="49" t="str">
        <f>IF(G100="","",IFERROR(VLOOKUP(G100,Kategorien!$A$2:$E$23,5,FALSE),""))</f>
        <v/>
      </c>
    </row>
    <row r="101" spans="1:22" x14ac:dyDescent="0.25">
      <c r="A101" s="21"/>
      <c r="B101" s="22"/>
      <c r="C101" s="29" t="str">
        <f>IF(G101="","",IFERROR(VLOOKUP(G101,Kategorien!$A$2:$E$23,2,FALSE),"Kategorie prüfen"))</f>
        <v/>
      </c>
      <c r="D101" s="22"/>
      <c r="E101" s="22"/>
      <c r="F101" s="22"/>
      <c r="G101" s="22"/>
      <c r="H101" s="22"/>
      <c r="I101" s="26"/>
      <c r="J101" s="33" t="str">
        <f>IF(G101="","",IFERROR(VLOOKUP(G101,Kategorien!$A$2:$E$23,3,FALSE),0))</f>
        <v/>
      </c>
      <c r="K101" s="34" t="str">
        <f t="shared" si="30"/>
        <v/>
      </c>
      <c r="L101" s="34" t="str">
        <f t="shared" si="31"/>
        <v/>
      </c>
      <c r="M101" s="33" t="str">
        <f>IF(G101="","",IFERROR(VLOOKUP(G101,Kategorien!$A$2:$E$23,4,FALSE),1))</f>
        <v/>
      </c>
      <c r="N101" s="34" t="str">
        <f t="shared" si="32"/>
        <v/>
      </c>
      <c r="O101" s="34">
        <f t="shared" si="33"/>
        <v>0</v>
      </c>
      <c r="P101" s="29" t="str">
        <f t="shared" si="34"/>
        <v/>
      </c>
      <c r="Q101" s="29" t="str">
        <f t="shared" si="35"/>
        <v/>
      </c>
      <c r="R101" s="29" t="str">
        <f t="shared" si="36"/>
        <v/>
      </c>
      <c r="S101" s="34">
        <f t="shared" si="37"/>
        <v>0</v>
      </c>
      <c r="T101" s="34">
        <f t="shared" si="38"/>
        <v>0</v>
      </c>
      <c r="U101" s="38" t="str">
        <f t="shared" si="39"/>
        <v/>
      </c>
      <c r="V101" s="49" t="str">
        <f>IF(G101="","",IFERROR(VLOOKUP(G101,Kategorien!$A$2:$E$23,5,FALSE),""))</f>
        <v/>
      </c>
    </row>
    <row r="102" spans="1:22" x14ac:dyDescent="0.25">
      <c r="A102" s="21"/>
      <c r="B102" s="22"/>
      <c r="C102" s="29" t="str">
        <f>IF(G102="","",IFERROR(VLOOKUP(G102,Kategorien!$A$2:$E$23,2,FALSE),"Kategorie prüfen"))</f>
        <v/>
      </c>
      <c r="D102" s="22"/>
      <c r="E102" s="22"/>
      <c r="F102" s="22"/>
      <c r="G102" s="22"/>
      <c r="H102" s="22"/>
      <c r="I102" s="26"/>
      <c r="J102" s="33" t="str">
        <f>IF(G102="","",IFERROR(VLOOKUP(G102,Kategorien!$A$2:$E$23,3,FALSE),0))</f>
        <v/>
      </c>
      <c r="K102" s="34" t="str">
        <f t="shared" si="30"/>
        <v/>
      </c>
      <c r="L102" s="34" t="str">
        <f t="shared" si="31"/>
        <v/>
      </c>
      <c r="M102" s="33" t="str">
        <f>IF(G102="","",IFERROR(VLOOKUP(G102,Kategorien!$A$2:$E$23,4,FALSE),1))</f>
        <v/>
      </c>
      <c r="N102" s="34" t="str">
        <f t="shared" si="32"/>
        <v/>
      </c>
      <c r="O102" s="34">
        <f t="shared" si="33"/>
        <v>0</v>
      </c>
      <c r="P102" s="29" t="str">
        <f t="shared" si="34"/>
        <v/>
      </c>
      <c r="Q102" s="29" t="str">
        <f t="shared" si="35"/>
        <v/>
      </c>
      <c r="R102" s="29" t="str">
        <f t="shared" si="36"/>
        <v/>
      </c>
      <c r="S102" s="34">
        <f t="shared" si="37"/>
        <v>0</v>
      </c>
      <c r="T102" s="34">
        <f t="shared" si="38"/>
        <v>0</v>
      </c>
      <c r="U102" s="38" t="str">
        <f t="shared" si="39"/>
        <v/>
      </c>
      <c r="V102" s="49" t="str">
        <f>IF(G102="","",IFERROR(VLOOKUP(G102,Kategorien!$A$2:$E$23,5,FALSE),""))</f>
        <v/>
      </c>
    </row>
    <row r="103" spans="1:22" x14ac:dyDescent="0.25">
      <c r="A103" s="21"/>
      <c r="B103" s="22"/>
      <c r="C103" s="29" t="str">
        <f>IF(G103="","",IFERROR(VLOOKUP(G103,Kategorien!$A$2:$E$23,2,FALSE),"Kategorie prüfen"))</f>
        <v/>
      </c>
      <c r="D103" s="22"/>
      <c r="E103" s="22"/>
      <c r="F103" s="22"/>
      <c r="G103" s="22"/>
      <c r="H103" s="22"/>
      <c r="I103" s="26"/>
      <c r="J103" s="33" t="str">
        <f>IF(G103="","",IFERROR(VLOOKUP(G103,Kategorien!$A$2:$E$23,3,FALSE),0))</f>
        <v/>
      </c>
      <c r="K103" s="34" t="str">
        <f t="shared" si="30"/>
        <v/>
      </c>
      <c r="L103" s="34" t="str">
        <f t="shared" si="31"/>
        <v/>
      </c>
      <c r="M103" s="33" t="str">
        <f>IF(G103="","",IFERROR(VLOOKUP(G103,Kategorien!$A$2:$E$23,4,FALSE),1))</f>
        <v/>
      </c>
      <c r="N103" s="34" t="str">
        <f t="shared" si="32"/>
        <v/>
      </c>
      <c r="O103" s="34">
        <f t="shared" si="33"/>
        <v>0</v>
      </c>
      <c r="P103" s="29" t="str">
        <f t="shared" si="34"/>
        <v/>
      </c>
      <c r="Q103" s="29" t="str">
        <f t="shared" si="35"/>
        <v/>
      </c>
      <c r="R103" s="29" t="str">
        <f t="shared" si="36"/>
        <v/>
      </c>
      <c r="S103" s="34">
        <f t="shared" si="37"/>
        <v>0</v>
      </c>
      <c r="T103" s="34">
        <f t="shared" si="38"/>
        <v>0</v>
      </c>
      <c r="U103" s="38" t="str">
        <f t="shared" si="39"/>
        <v/>
      </c>
      <c r="V103" s="49" t="str">
        <f>IF(G103="","",IFERROR(VLOOKUP(G103,Kategorien!$A$2:$E$23,5,FALSE),""))</f>
        <v/>
      </c>
    </row>
    <row r="104" spans="1:22" x14ac:dyDescent="0.25">
      <c r="A104" s="21"/>
      <c r="B104" s="22"/>
      <c r="C104" s="29" t="str">
        <f>IF(G104="","",IFERROR(VLOOKUP(G104,Kategorien!$A$2:$E$23,2,FALSE),"Kategorie prüfen"))</f>
        <v/>
      </c>
      <c r="D104" s="22"/>
      <c r="E104" s="22"/>
      <c r="F104" s="22"/>
      <c r="G104" s="22"/>
      <c r="H104" s="22"/>
      <c r="I104" s="26"/>
      <c r="J104" s="33" t="str">
        <f>IF(G104="","",IFERROR(VLOOKUP(G104,Kategorien!$A$2:$E$23,3,FALSE),0))</f>
        <v/>
      </c>
      <c r="K104" s="34" t="str">
        <f t="shared" si="30"/>
        <v/>
      </c>
      <c r="L104" s="34" t="str">
        <f t="shared" si="31"/>
        <v/>
      </c>
      <c r="M104" s="33" t="str">
        <f>IF(G104="","",IFERROR(VLOOKUP(G104,Kategorien!$A$2:$E$23,4,FALSE),1))</f>
        <v/>
      </c>
      <c r="N104" s="34" t="str">
        <f t="shared" si="32"/>
        <v/>
      </c>
      <c r="O104" s="34">
        <f t="shared" si="33"/>
        <v>0</v>
      </c>
      <c r="P104" s="29" t="str">
        <f t="shared" si="34"/>
        <v/>
      </c>
      <c r="Q104" s="29" t="str">
        <f t="shared" si="35"/>
        <v/>
      </c>
      <c r="R104" s="29" t="str">
        <f t="shared" si="36"/>
        <v/>
      </c>
      <c r="S104" s="34">
        <f t="shared" si="37"/>
        <v>0</v>
      </c>
      <c r="T104" s="34">
        <f t="shared" si="38"/>
        <v>0</v>
      </c>
      <c r="U104" s="38" t="str">
        <f t="shared" si="39"/>
        <v/>
      </c>
      <c r="V104" s="49" t="str">
        <f>IF(G104="","",IFERROR(VLOOKUP(G104,Kategorien!$A$2:$E$23,5,FALSE),""))</f>
        <v/>
      </c>
    </row>
    <row r="105" spans="1:22" x14ac:dyDescent="0.25">
      <c r="A105" s="21"/>
      <c r="B105" s="22"/>
      <c r="C105" s="29" t="str">
        <f>IF(G105="","",IFERROR(VLOOKUP(G105,Kategorien!$A$2:$E$23,2,FALSE),"Kategorie prüfen"))</f>
        <v/>
      </c>
      <c r="D105" s="22"/>
      <c r="E105" s="22"/>
      <c r="F105" s="22"/>
      <c r="G105" s="22"/>
      <c r="H105" s="22"/>
      <c r="I105" s="26"/>
      <c r="J105" s="33" t="str">
        <f>IF(G105="","",IFERROR(VLOOKUP(G105,Kategorien!$A$2:$E$23,3,FALSE),0))</f>
        <v/>
      </c>
      <c r="K105" s="34" t="str">
        <f t="shared" si="30"/>
        <v/>
      </c>
      <c r="L105" s="34" t="str">
        <f t="shared" si="31"/>
        <v/>
      </c>
      <c r="M105" s="33" t="str">
        <f>IF(G105="","",IFERROR(VLOOKUP(G105,Kategorien!$A$2:$E$23,4,FALSE),1))</f>
        <v/>
      </c>
      <c r="N105" s="34" t="str">
        <f t="shared" si="32"/>
        <v/>
      </c>
      <c r="O105" s="34">
        <f t="shared" si="33"/>
        <v>0</v>
      </c>
      <c r="P105" s="29" t="str">
        <f t="shared" si="34"/>
        <v/>
      </c>
      <c r="Q105" s="29" t="str">
        <f t="shared" si="35"/>
        <v/>
      </c>
      <c r="R105" s="29" t="str">
        <f t="shared" si="36"/>
        <v/>
      </c>
      <c r="S105" s="34">
        <f t="shared" si="37"/>
        <v>0</v>
      </c>
      <c r="T105" s="34">
        <f t="shared" si="38"/>
        <v>0</v>
      </c>
      <c r="U105" s="38" t="str">
        <f t="shared" si="39"/>
        <v/>
      </c>
      <c r="V105" s="49" t="str">
        <f>IF(G105="","",IFERROR(VLOOKUP(G105,Kategorien!$A$2:$E$23,5,FALSE),""))</f>
        <v/>
      </c>
    </row>
    <row r="106" spans="1:22" x14ac:dyDescent="0.25">
      <c r="A106" s="21"/>
      <c r="B106" s="22"/>
      <c r="C106" s="29" t="str">
        <f>IF(G106="","",IFERROR(VLOOKUP(G106,Kategorien!$A$2:$E$23,2,FALSE),"Kategorie prüfen"))</f>
        <v/>
      </c>
      <c r="D106" s="22"/>
      <c r="E106" s="22"/>
      <c r="F106" s="22"/>
      <c r="G106" s="22"/>
      <c r="H106" s="22"/>
      <c r="I106" s="26"/>
      <c r="J106" s="33" t="str">
        <f>IF(G106="","",IFERROR(VLOOKUP(G106,Kategorien!$A$2:$E$23,3,FALSE),0))</f>
        <v/>
      </c>
      <c r="K106" s="34" t="str">
        <f t="shared" si="30"/>
        <v/>
      </c>
      <c r="L106" s="34" t="str">
        <f t="shared" si="31"/>
        <v/>
      </c>
      <c r="M106" s="33" t="str">
        <f>IF(G106="","",IFERROR(VLOOKUP(G106,Kategorien!$A$2:$E$23,4,FALSE),1))</f>
        <v/>
      </c>
      <c r="N106" s="34" t="str">
        <f t="shared" si="32"/>
        <v/>
      </c>
      <c r="O106" s="34">
        <f t="shared" si="33"/>
        <v>0</v>
      </c>
      <c r="P106" s="29" t="str">
        <f t="shared" si="34"/>
        <v/>
      </c>
      <c r="Q106" s="29" t="str">
        <f t="shared" si="35"/>
        <v/>
      </c>
      <c r="R106" s="29" t="str">
        <f t="shared" si="36"/>
        <v/>
      </c>
      <c r="S106" s="34">
        <f t="shared" si="37"/>
        <v>0</v>
      </c>
      <c r="T106" s="34">
        <f t="shared" si="38"/>
        <v>0</v>
      </c>
      <c r="U106" s="38" t="str">
        <f t="shared" si="39"/>
        <v/>
      </c>
      <c r="V106" s="49" t="str">
        <f>IF(G106="","",IFERROR(VLOOKUP(G106,Kategorien!$A$2:$E$23,5,FALSE),""))</f>
        <v/>
      </c>
    </row>
    <row r="107" spans="1:22" x14ac:dyDescent="0.25">
      <c r="A107" s="21"/>
      <c r="B107" s="22"/>
      <c r="C107" s="29" t="str">
        <f>IF(G107="","",IFERROR(VLOOKUP(G107,Kategorien!$A$2:$E$23,2,FALSE),"Kategorie prüfen"))</f>
        <v/>
      </c>
      <c r="D107" s="22"/>
      <c r="E107" s="22"/>
      <c r="F107" s="22"/>
      <c r="G107" s="22"/>
      <c r="H107" s="22"/>
      <c r="I107" s="26"/>
      <c r="J107" s="33" t="str">
        <f>IF(G107="","",IFERROR(VLOOKUP(G107,Kategorien!$A$2:$E$23,3,FALSE),0))</f>
        <v/>
      </c>
      <c r="K107" s="34" t="str">
        <f t="shared" si="30"/>
        <v/>
      </c>
      <c r="L107" s="34" t="str">
        <f t="shared" si="31"/>
        <v/>
      </c>
      <c r="M107" s="33" t="str">
        <f>IF(G107="","",IFERROR(VLOOKUP(G107,Kategorien!$A$2:$E$23,4,FALSE),1))</f>
        <v/>
      </c>
      <c r="N107" s="34" t="str">
        <f t="shared" si="32"/>
        <v/>
      </c>
      <c r="O107" s="34">
        <f t="shared" si="33"/>
        <v>0</v>
      </c>
      <c r="P107" s="29" t="str">
        <f t="shared" si="34"/>
        <v/>
      </c>
      <c r="Q107" s="29" t="str">
        <f t="shared" si="35"/>
        <v/>
      </c>
      <c r="R107" s="29" t="str">
        <f t="shared" si="36"/>
        <v/>
      </c>
      <c r="S107" s="34">
        <f t="shared" si="37"/>
        <v>0</v>
      </c>
      <c r="T107" s="34">
        <f t="shared" si="38"/>
        <v>0</v>
      </c>
      <c r="U107" s="38" t="str">
        <f t="shared" si="39"/>
        <v/>
      </c>
      <c r="V107" s="49" t="str">
        <f>IF(G107="","",IFERROR(VLOOKUP(G107,Kategorien!$A$2:$E$23,5,FALSE),""))</f>
        <v/>
      </c>
    </row>
    <row r="108" spans="1:22" x14ac:dyDescent="0.25">
      <c r="A108" s="21"/>
      <c r="B108" s="22"/>
      <c r="C108" s="29" t="str">
        <f>IF(G108="","",IFERROR(VLOOKUP(G108,Kategorien!$A$2:$E$23,2,FALSE),"Kategorie prüfen"))</f>
        <v/>
      </c>
      <c r="D108" s="22"/>
      <c r="E108" s="22"/>
      <c r="F108" s="22"/>
      <c r="G108" s="22"/>
      <c r="H108" s="22"/>
      <c r="I108" s="26"/>
      <c r="J108" s="33" t="str">
        <f>IF(G108="","",IFERROR(VLOOKUP(G108,Kategorien!$A$2:$E$23,3,FALSE),0))</f>
        <v/>
      </c>
      <c r="K108" s="34" t="str">
        <f t="shared" si="30"/>
        <v/>
      </c>
      <c r="L108" s="34" t="str">
        <f t="shared" si="31"/>
        <v/>
      </c>
      <c r="M108" s="33" t="str">
        <f>IF(G108="","",IFERROR(VLOOKUP(G108,Kategorien!$A$2:$E$23,4,FALSE),1))</f>
        <v/>
      </c>
      <c r="N108" s="34" t="str">
        <f t="shared" si="32"/>
        <v/>
      </c>
      <c r="O108" s="34">
        <f t="shared" si="33"/>
        <v>0</v>
      </c>
      <c r="P108" s="29" t="str">
        <f t="shared" si="34"/>
        <v/>
      </c>
      <c r="Q108" s="29" t="str">
        <f t="shared" si="35"/>
        <v/>
      </c>
      <c r="R108" s="29" t="str">
        <f t="shared" si="36"/>
        <v/>
      </c>
      <c r="S108" s="34">
        <f t="shared" si="37"/>
        <v>0</v>
      </c>
      <c r="T108" s="34">
        <f t="shared" si="38"/>
        <v>0</v>
      </c>
      <c r="U108" s="38" t="str">
        <f t="shared" si="39"/>
        <v/>
      </c>
      <c r="V108" s="49" t="str">
        <f>IF(G108="","",IFERROR(VLOOKUP(G108,Kategorien!$A$2:$E$23,5,FALSE),""))</f>
        <v/>
      </c>
    </row>
    <row r="109" spans="1:22" x14ac:dyDescent="0.25">
      <c r="A109" s="21"/>
      <c r="B109" s="22"/>
      <c r="C109" s="29" t="str">
        <f>IF(G109="","",IFERROR(VLOOKUP(G109,Kategorien!$A$2:$E$23,2,FALSE),"Kategorie prüfen"))</f>
        <v/>
      </c>
      <c r="D109" s="22"/>
      <c r="E109" s="22"/>
      <c r="F109" s="22"/>
      <c r="G109" s="22"/>
      <c r="H109" s="22"/>
      <c r="I109" s="26"/>
      <c r="J109" s="33" t="str">
        <f>IF(G109="","",IFERROR(VLOOKUP(G109,Kategorien!$A$2:$E$23,3,FALSE),0))</f>
        <v/>
      </c>
      <c r="K109" s="34" t="str">
        <f t="shared" si="30"/>
        <v/>
      </c>
      <c r="L109" s="34" t="str">
        <f t="shared" si="31"/>
        <v/>
      </c>
      <c r="M109" s="33" t="str">
        <f>IF(G109="","",IFERROR(VLOOKUP(G109,Kategorien!$A$2:$E$23,4,FALSE),1))</f>
        <v/>
      </c>
      <c r="N109" s="34" t="str">
        <f t="shared" si="32"/>
        <v/>
      </c>
      <c r="O109" s="34">
        <f t="shared" si="33"/>
        <v>0</v>
      </c>
      <c r="P109" s="29" t="str">
        <f t="shared" si="34"/>
        <v/>
      </c>
      <c r="Q109" s="29" t="str">
        <f t="shared" si="35"/>
        <v/>
      </c>
      <c r="R109" s="29" t="str">
        <f t="shared" si="36"/>
        <v/>
      </c>
      <c r="S109" s="34">
        <f t="shared" si="37"/>
        <v>0</v>
      </c>
      <c r="T109" s="34">
        <f t="shared" si="38"/>
        <v>0</v>
      </c>
      <c r="U109" s="38" t="str">
        <f t="shared" si="39"/>
        <v/>
      </c>
      <c r="V109" s="49" t="str">
        <f>IF(G109="","",IFERROR(VLOOKUP(G109,Kategorien!$A$2:$E$23,5,FALSE),""))</f>
        <v/>
      </c>
    </row>
    <row r="110" spans="1:22" x14ac:dyDescent="0.25">
      <c r="A110" s="21"/>
      <c r="B110" s="22"/>
      <c r="C110" s="29" t="str">
        <f>IF(G110="","",IFERROR(VLOOKUP(G110,Kategorien!$A$2:$E$23,2,FALSE),"Kategorie prüfen"))</f>
        <v/>
      </c>
      <c r="D110" s="22"/>
      <c r="E110" s="22"/>
      <c r="F110" s="22"/>
      <c r="G110" s="22"/>
      <c r="H110" s="22"/>
      <c r="I110" s="26"/>
      <c r="J110" s="33" t="str">
        <f>IF(G110="","",IFERROR(VLOOKUP(G110,Kategorien!$A$2:$E$23,3,FALSE),0))</f>
        <v/>
      </c>
      <c r="K110" s="34" t="str">
        <f t="shared" si="30"/>
        <v/>
      </c>
      <c r="L110" s="34" t="str">
        <f t="shared" si="31"/>
        <v/>
      </c>
      <c r="M110" s="33" t="str">
        <f>IF(G110="","",IFERROR(VLOOKUP(G110,Kategorien!$A$2:$E$23,4,FALSE),1))</f>
        <v/>
      </c>
      <c r="N110" s="34" t="str">
        <f t="shared" si="32"/>
        <v/>
      </c>
      <c r="O110" s="34">
        <f t="shared" si="33"/>
        <v>0</v>
      </c>
      <c r="P110" s="29" t="str">
        <f t="shared" si="34"/>
        <v/>
      </c>
      <c r="Q110" s="29" t="str">
        <f t="shared" si="35"/>
        <v/>
      </c>
      <c r="R110" s="29" t="str">
        <f t="shared" si="36"/>
        <v/>
      </c>
      <c r="S110" s="34">
        <f t="shared" si="37"/>
        <v>0</v>
      </c>
      <c r="T110" s="34">
        <f t="shared" si="38"/>
        <v>0</v>
      </c>
      <c r="U110" s="38" t="str">
        <f t="shared" si="39"/>
        <v/>
      </c>
      <c r="V110" s="49" t="str">
        <f>IF(G110="","",IFERROR(VLOOKUP(G110,Kategorien!$A$2:$E$23,5,FALSE),""))</f>
        <v/>
      </c>
    </row>
    <row r="111" spans="1:22" x14ac:dyDescent="0.25">
      <c r="A111" s="21"/>
      <c r="B111" s="22"/>
      <c r="C111" s="29" t="str">
        <f>IF(G111="","",IFERROR(VLOOKUP(G111,Kategorien!$A$2:$E$23,2,FALSE),"Kategorie prüfen"))</f>
        <v/>
      </c>
      <c r="D111" s="22"/>
      <c r="E111" s="22"/>
      <c r="F111" s="22"/>
      <c r="G111" s="22"/>
      <c r="H111" s="22"/>
      <c r="I111" s="26"/>
      <c r="J111" s="33" t="str">
        <f>IF(G111="","",IFERROR(VLOOKUP(G111,Kategorien!$A$2:$E$23,3,FALSE),0))</f>
        <v/>
      </c>
      <c r="K111" s="34" t="str">
        <f t="shared" si="30"/>
        <v/>
      </c>
      <c r="L111" s="34" t="str">
        <f t="shared" si="31"/>
        <v/>
      </c>
      <c r="M111" s="33" t="str">
        <f>IF(G111="","",IFERROR(VLOOKUP(G111,Kategorien!$A$2:$E$23,4,FALSE),1))</f>
        <v/>
      </c>
      <c r="N111" s="34" t="str">
        <f t="shared" si="32"/>
        <v/>
      </c>
      <c r="O111" s="34">
        <f t="shared" si="33"/>
        <v>0</v>
      </c>
      <c r="P111" s="29" t="str">
        <f t="shared" si="34"/>
        <v/>
      </c>
      <c r="Q111" s="29" t="str">
        <f t="shared" si="35"/>
        <v/>
      </c>
      <c r="R111" s="29" t="str">
        <f t="shared" si="36"/>
        <v/>
      </c>
      <c r="S111" s="34">
        <f t="shared" si="37"/>
        <v>0</v>
      </c>
      <c r="T111" s="34">
        <f t="shared" si="38"/>
        <v>0</v>
      </c>
      <c r="U111" s="38" t="str">
        <f t="shared" si="39"/>
        <v/>
      </c>
      <c r="V111" s="49" t="str">
        <f>IF(G111="","",IFERROR(VLOOKUP(G111,Kategorien!$A$2:$E$23,5,FALSE),""))</f>
        <v/>
      </c>
    </row>
    <row r="112" spans="1:22" x14ac:dyDescent="0.25">
      <c r="A112" s="21"/>
      <c r="B112" s="22"/>
      <c r="C112" s="29" t="str">
        <f>IF(G112="","",IFERROR(VLOOKUP(G112,Kategorien!$A$2:$E$23,2,FALSE),"Kategorie prüfen"))</f>
        <v/>
      </c>
      <c r="D112" s="22"/>
      <c r="E112" s="22"/>
      <c r="F112" s="22"/>
      <c r="G112" s="22"/>
      <c r="H112" s="22"/>
      <c r="I112" s="26"/>
      <c r="J112" s="33" t="str">
        <f>IF(G112="","",IFERROR(VLOOKUP(G112,Kategorien!$A$2:$E$23,3,FALSE),0))</f>
        <v/>
      </c>
      <c r="K112" s="34" t="str">
        <f t="shared" si="30"/>
        <v/>
      </c>
      <c r="L112" s="34" t="str">
        <f t="shared" si="31"/>
        <v/>
      </c>
      <c r="M112" s="33" t="str">
        <f>IF(G112="","",IFERROR(VLOOKUP(G112,Kategorien!$A$2:$E$23,4,FALSE),1))</f>
        <v/>
      </c>
      <c r="N112" s="34" t="str">
        <f t="shared" si="32"/>
        <v/>
      </c>
      <c r="O112" s="34">
        <f t="shared" si="33"/>
        <v>0</v>
      </c>
      <c r="P112" s="29" t="str">
        <f t="shared" si="34"/>
        <v/>
      </c>
      <c r="Q112" s="29" t="str">
        <f t="shared" si="35"/>
        <v/>
      </c>
      <c r="R112" s="29" t="str">
        <f t="shared" si="36"/>
        <v/>
      </c>
      <c r="S112" s="34">
        <f t="shared" si="37"/>
        <v>0</v>
      </c>
      <c r="T112" s="34">
        <f t="shared" si="38"/>
        <v>0</v>
      </c>
      <c r="U112" s="38" t="str">
        <f t="shared" si="39"/>
        <v/>
      </c>
      <c r="V112" s="49" t="str">
        <f>IF(G112="","",IFERROR(VLOOKUP(G112,Kategorien!$A$2:$E$23,5,FALSE),""))</f>
        <v/>
      </c>
    </row>
    <row r="113" spans="1:22" x14ac:dyDescent="0.25">
      <c r="A113" s="21"/>
      <c r="B113" s="22"/>
      <c r="C113" s="29" t="str">
        <f>IF(G113="","",IFERROR(VLOOKUP(G113,Kategorien!$A$2:$E$23,2,FALSE),"Kategorie prüfen"))</f>
        <v/>
      </c>
      <c r="D113" s="22"/>
      <c r="E113" s="22"/>
      <c r="F113" s="22"/>
      <c r="G113" s="22"/>
      <c r="H113" s="22"/>
      <c r="I113" s="26"/>
      <c r="J113" s="33" t="str">
        <f>IF(G113="","",IFERROR(VLOOKUP(G113,Kategorien!$A$2:$E$23,3,FALSE),0))</f>
        <v/>
      </c>
      <c r="K113" s="34" t="str">
        <f t="shared" si="30"/>
        <v/>
      </c>
      <c r="L113" s="34" t="str">
        <f t="shared" si="31"/>
        <v/>
      </c>
      <c r="M113" s="33" t="str">
        <f>IF(G113="","",IFERROR(VLOOKUP(G113,Kategorien!$A$2:$E$23,4,FALSE),1))</f>
        <v/>
      </c>
      <c r="N113" s="34" t="str">
        <f t="shared" si="32"/>
        <v/>
      </c>
      <c r="O113" s="34">
        <f t="shared" si="33"/>
        <v>0</v>
      </c>
      <c r="P113" s="29" t="str">
        <f t="shared" si="34"/>
        <v/>
      </c>
      <c r="Q113" s="29" t="str">
        <f t="shared" si="35"/>
        <v/>
      </c>
      <c r="R113" s="29" t="str">
        <f t="shared" si="36"/>
        <v/>
      </c>
      <c r="S113" s="34">
        <f t="shared" si="37"/>
        <v>0</v>
      </c>
      <c r="T113" s="34">
        <f t="shared" si="38"/>
        <v>0</v>
      </c>
      <c r="U113" s="38" t="str">
        <f t="shared" si="39"/>
        <v/>
      </c>
      <c r="V113" s="49" t="str">
        <f>IF(G113="","",IFERROR(VLOOKUP(G113,Kategorien!$A$2:$E$23,5,FALSE),""))</f>
        <v/>
      </c>
    </row>
    <row r="114" spans="1:22" x14ac:dyDescent="0.25">
      <c r="A114" s="21"/>
      <c r="B114" s="22"/>
      <c r="C114" s="29" t="str">
        <f>IF(G114="","",IFERROR(VLOOKUP(G114,Kategorien!$A$2:$E$23,2,FALSE),"Kategorie prüfen"))</f>
        <v/>
      </c>
      <c r="D114" s="22"/>
      <c r="E114" s="22"/>
      <c r="F114" s="22"/>
      <c r="G114" s="22"/>
      <c r="H114" s="22"/>
      <c r="I114" s="26"/>
      <c r="J114" s="33" t="str">
        <f>IF(G114="","",IFERROR(VLOOKUP(G114,Kategorien!$A$2:$E$23,3,FALSE),0))</f>
        <v/>
      </c>
      <c r="K114" s="34" t="str">
        <f t="shared" si="30"/>
        <v/>
      </c>
      <c r="L114" s="34" t="str">
        <f t="shared" si="31"/>
        <v/>
      </c>
      <c r="M114" s="33" t="str">
        <f>IF(G114="","",IFERROR(VLOOKUP(G114,Kategorien!$A$2:$E$23,4,FALSE),1))</f>
        <v/>
      </c>
      <c r="N114" s="34" t="str">
        <f t="shared" si="32"/>
        <v/>
      </c>
      <c r="O114" s="34">
        <f t="shared" si="33"/>
        <v>0</v>
      </c>
      <c r="P114" s="29" t="str">
        <f t="shared" si="34"/>
        <v/>
      </c>
      <c r="Q114" s="29" t="str">
        <f t="shared" si="35"/>
        <v/>
      </c>
      <c r="R114" s="29" t="str">
        <f t="shared" si="36"/>
        <v/>
      </c>
      <c r="S114" s="34">
        <f t="shared" si="37"/>
        <v>0</v>
      </c>
      <c r="T114" s="34">
        <f t="shared" si="38"/>
        <v>0</v>
      </c>
      <c r="U114" s="38" t="str">
        <f t="shared" si="39"/>
        <v/>
      </c>
      <c r="V114" s="49" t="str">
        <f>IF(G114="","",IFERROR(VLOOKUP(G114,Kategorien!$A$2:$E$23,5,FALSE),""))</f>
        <v/>
      </c>
    </row>
    <row r="115" spans="1:22" x14ac:dyDescent="0.25">
      <c r="A115" s="21"/>
      <c r="B115" s="22"/>
      <c r="C115" s="29" t="str">
        <f>IF(G115="","",IFERROR(VLOOKUP(G115,Kategorien!$A$2:$E$23,2,FALSE),"Kategorie prüfen"))</f>
        <v/>
      </c>
      <c r="D115" s="22"/>
      <c r="E115" s="22"/>
      <c r="F115" s="22"/>
      <c r="G115" s="22"/>
      <c r="H115" s="22"/>
      <c r="I115" s="26"/>
      <c r="J115" s="33" t="str">
        <f>IF(G115="","",IFERROR(VLOOKUP(G115,Kategorien!$A$2:$E$23,3,FALSE),0))</f>
        <v/>
      </c>
      <c r="K115" s="34" t="str">
        <f t="shared" si="30"/>
        <v/>
      </c>
      <c r="L115" s="34" t="str">
        <f t="shared" si="31"/>
        <v/>
      </c>
      <c r="M115" s="33" t="str">
        <f>IF(G115="","",IFERROR(VLOOKUP(G115,Kategorien!$A$2:$E$23,4,FALSE),1))</f>
        <v/>
      </c>
      <c r="N115" s="34" t="str">
        <f t="shared" si="32"/>
        <v/>
      </c>
      <c r="O115" s="34">
        <f t="shared" si="33"/>
        <v>0</v>
      </c>
      <c r="P115" s="29" t="str">
        <f t="shared" si="34"/>
        <v/>
      </c>
      <c r="Q115" s="29" t="str">
        <f t="shared" si="35"/>
        <v/>
      </c>
      <c r="R115" s="29" t="str">
        <f t="shared" si="36"/>
        <v/>
      </c>
      <c r="S115" s="34">
        <f t="shared" si="37"/>
        <v>0</v>
      </c>
      <c r="T115" s="34">
        <f t="shared" si="38"/>
        <v>0</v>
      </c>
      <c r="U115" s="38" t="str">
        <f t="shared" si="39"/>
        <v/>
      </c>
      <c r="V115" s="49" t="str">
        <f>IF(G115="","",IFERROR(VLOOKUP(G115,Kategorien!$A$2:$E$23,5,FALSE),""))</f>
        <v/>
      </c>
    </row>
    <row r="116" spans="1:22" x14ac:dyDescent="0.25">
      <c r="A116" s="21"/>
      <c r="B116" s="22"/>
      <c r="C116" s="29" t="str">
        <f>IF(G116="","",IFERROR(VLOOKUP(G116,Kategorien!$A$2:$E$23,2,FALSE),"Kategorie prüfen"))</f>
        <v/>
      </c>
      <c r="D116" s="22"/>
      <c r="E116" s="22"/>
      <c r="F116" s="22"/>
      <c r="G116" s="22"/>
      <c r="H116" s="22"/>
      <c r="I116" s="26"/>
      <c r="J116" s="33" t="str">
        <f>IF(G116="","",IFERROR(VLOOKUP(G116,Kategorien!$A$2:$E$23,3,FALSE),0))</f>
        <v/>
      </c>
      <c r="K116" s="34" t="str">
        <f t="shared" si="30"/>
        <v/>
      </c>
      <c r="L116" s="34" t="str">
        <f t="shared" si="31"/>
        <v/>
      </c>
      <c r="M116" s="33" t="str">
        <f>IF(G116="","",IFERROR(VLOOKUP(G116,Kategorien!$A$2:$E$23,4,FALSE),1))</f>
        <v/>
      </c>
      <c r="N116" s="34" t="str">
        <f t="shared" si="32"/>
        <v/>
      </c>
      <c r="O116" s="34">
        <f t="shared" si="33"/>
        <v>0</v>
      </c>
      <c r="P116" s="29" t="str">
        <f t="shared" si="34"/>
        <v/>
      </c>
      <c r="Q116" s="29" t="str">
        <f t="shared" si="35"/>
        <v/>
      </c>
      <c r="R116" s="29" t="str">
        <f t="shared" si="36"/>
        <v/>
      </c>
      <c r="S116" s="34">
        <f t="shared" si="37"/>
        <v>0</v>
      </c>
      <c r="T116" s="34">
        <f t="shared" si="38"/>
        <v>0</v>
      </c>
      <c r="U116" s="38" t="str">
        <f t="shared" si="39"/>
        <v/>
      </c>
      <c r="V116" s="49" t="str">
        <f>IF(G116="","",IFERROR(VLOOKUP(G116,Kategorien!$A$2:$E$23,5,FALSE),""))</f>
        <v/>
      </c>
    </row>
    <row r="117" spans="1:22" x14ac:dyDescent="0.25">
      <c r="A117" s="21"/>
      <c r="B117" s="22"/>
      <c r="C117" s="29" t="str">
        <f>IF(G117="","",IFERROR(VLOOKUP(G117,Kategorien!$A$2:$E$23,2,FALSE),"Kategorie prüfen"))</f>
        <v/>
      </c>
      <c r="D117" s="22"/>
      <c r="E117" s="22"/>
      <c r="F117" s="22"/>
      <c r="G117" s="22"/>
      <c r="H117" s="22"/>
      <c r="I117" s="26"/>
      <c r="J117" s="33" t="str">
        <f>IF(G117="","",IFERROR(VLOOKUP(G117,Kategorien!$A$2:$E$23,3,FALSE),0))</f>
        <v/>
      </c>
      <c r="K117" s="34" t="str">
        <f t="shared" si="30"/>
        <v/>
      </c>
      <c r="L117" s="34" t="str">
        <f t="shared" si="31"/>
        <v/>
      </c>
      <c r="M117" s="33" t="str">
        <f>IF(G117="","",IFERROR(VLOOKUP(G117,Kategorien!$A$2:$E$23,4,FALSE),1))</f>
        <v/>
      </c>
      <c r="N117" s="34" t="str">
        <f t="shared" si="32"/>
        <v/>
      </c>
      <c r="O117" s="34">
        <f t="shared" si="33"/>
        <v>0</v>
      </c>
      <c r="P117" s="29" t="str">
        <f t="shared" si="34"/>
        <v/>
      </c>
      <c r="Q117" s="29" t="str">
        <f t="shared" si="35"/>
        <v/>
      </c>
      <c r="R117" s="29" t="str">
        <f t="shared" si="36"/>
        <v/>
      </c>
      <c r="S117" s="34">
        <f t="shared" si="37"/>
        <v>0</v>
      </c>
      <c r="T117" s="34">
        <f t="shared" si="38"/>
        <v>0</v>
      </c>
      <c r="U117" s="38" t="str">
        <f t="shared" si="39"/>
        <v/>
      </c>
      <c r="V117" s="49" t="str">
        <f>IF(G117="","",IFERROR(VLOOKUP(G117,Kategorien!$A$2:$E$23,5,FALSE),""))</f>
        <v/>
      </c>
    </row>
    <row r="118" spans="1:22" x14ac:dyDescent="0.25">
      <c r="A118" s="21"/>
      <c r="B118" s="22"/>
      <c r="C118" s="29" t="str">
        <f>IF(G118="","",IFERROR(VLOOKUP(G118,Kategorien!$A$2:$E$23,2,FALSE),"Kategorie prüfen"))</f>
        <v/>
      </c>
      <c r="D118" s="22"/>
      <c r="E118" s="22"/>
      <c r="F118" s="22"/>
      <c r="G118" s="22"/>
      <c r="H118" s="22"/>
      <c r="I118" s="26"/>
      <c r="J118" s="33" t="str">
        <f>IF(G118="","",IFERROR(VLOOKUP(G118,Kategorien!$A$2:$E$23,3,FALSE),0))</f>
        <v/>
      </c>
      <c r="K118" s="34" t="str">
        <f t="shared" si="30"/>
        <v/>
      </c>
      <c r="L118" s="34" t="str">
        <f t="shared" si="31"/>
        <v/>
      </c>
      <c r="M118" s="33" t="str">
        <f>IF(G118="","",IFERROR(VLOOKUP(G118,Kategorien!$A$2:$E$23,4,FALSE),1))</f>
        <v/>
      </c>
      <c r="N118" s="34" t="str">
        <f t="shared" si="32"/>
        <v/>
      </c>
      <c r="O118" s="34">
        <f t="shared" si="33"/>
        <v>0</v>
      </c>
      <c r="P118" s="29" t="str">
        <f t="shared" si="34"/>
        <v/>
      </c>
      <c r="Q118" s="29" t="str">
        <f t="shared" si="35"/>
        <v/>
      </c>
      <c r="R118" s="29" t="str">
        <f t="shared" si="36"/>
        <v/>
      </c>
      <c r="S118" s="34">
        <f t="shared" si="37"/>
        <v>0</v>
      </c>
      <c r="T118" s="34">
        <f t="shared" si="38"/>
        <v>0</v>
      </c>
      <c r="U118" s="38" t="str">
        <f t="shared" si="39"/>
        <v/>
      </c>
      <c r="V118" s="49" t="str">
        <f>IF(G118="","",IFERROR(VLOOKUP(G118,Kategorien!$A$2:$E$23,5,FALSE),""))</f>
        <v/>
      </c>
    </row>
    <row r="119" spans="1:22" x14ac:dyDescent="0.25">
      <c r="A119" s="21"/>
      <c r="B119" s="22"/>
      <c r="C119" s="29" t="str">
        <f>IF(G119="","",IFERROR(VLOOKUP(G119,Kategorien!$A$2:$E$23,2,FALSE),"Kategorie prüfen"))</f>
        <v/>
      </c>
      <c r="D119" s="22"/>
      <c r="E119" s="22"/>
      <c r="F119" s="22"/>
      <c r="G119" s="22"/>
      <c r="H119" s="22"/>
      <c r="I119" s="26"/>
      <c r="J119" s="33" t="str">
        <f>IF(G119="","",IFERROR(VLOOKUP(G119,Kategorien!$A$2:$E$23,3,FALSE),0))</f>
        <v/>
      </c>
      <c r="K119" s="34" t="str">
        <f t="shared" si="30"/>
        <v/>
      </c>
      <c r="L119" s="34" t="str">
        <f t="shared" si="31"/>
        <v/>
      </c>
      <c r="M119" s="33" t="str">
        <f>IF(G119="","",IFERROR(VLOOKUP(G119,Kategorien!$A$2:$E$23,4,FALSE),1))</f>
        <v/>
      </c>
      <c r="N119" s="34" t="str">
        <f t="shared" si="32"/>
        <v/>
      </c>
      <c r="O119" s="34">
        <f t="shared" si="33"/>
        <v>0</v>
      </c>
      <c r="P119" s="29" t="str">
        <f t="shared" si="34"/>
        <v/>
      </c>
      <c r="Q119" s="29" t="str">
        <f t="shared" si="35"/>
        <v/>
      </c>
      <c r="R119" s="29" t="str">
        <f t="shared" si="36"/>
        <v/>
      </c>
      <c r="S119" s="34">
        <f t="shared" si="37"/>
        <v>0</v>
      </c>
      <c r="T119" s="34">
        <f t="shared" si="38"/>
        <v>0</v>
      </c>
      <c r="U119" s="38" t="str">
        <f t="shared" si="39"/>
        <v/>
      </c>
      <c r="V119" s="49" t="str">
        <f>IF(G119="","",IFERROR(VLOOKUP(G119,Kategorien!$A$2:$E$23,5,FALSE),""))</f>
        <v/>
      </c>
    </row>
    <row r="120" spans="1:22" x14ac:dyDescent="0.25">
      <c r="A120" s="21"/>
      <c r="B120" s="22"/>
      <c r="C120" s="29" t="str">
        <f>IF(G120="","",IFERROR(VLOOKUP(G120,Kategorien!$A$2:$E$23,2,FALSE),"Kategorie prüfen"))</f>
        <v/>
      </c>
      <c r="D120" s="22"/>
      <c r="E120" s="22"/>
      <c r="F120" s="22"/>
      <c r="G120" s="22"/>
      <c r="H120" s="22"/>
      <c r="I120" s="26"/>
      <c r="J120" s="33" t="str">
        <f>IF(G120="","",IFERROR(VLOOKUP(G120,Kategorien!$A$2:$E$23,3,FALSE),0))</f>
        <v/>
      </c>
      <c r="K120" s="34" t="str">
        <f t="shared" si="30"/>
        <v/>
      </c>
      <c r="L120" s="34" t="str">
        <f t="shared" si="31"/>
        <v/>
      </c>
      <c r="M120" s="33" t="str">
        <f>IF(G120="","",IFERROR(VLOOKUP(G120,Kategorien!$A$2:$E$23,4,FALSE),1))</f>
        <v/>
      </c>
      <c r="N120" s="34" t="str">
        <f t="shared" si="32"/>
        <v/>
      </c>
      <c r="O120" s="34">
        <f t="shared" si="33"/>
        <v>0</v>
      </c>
      <c r="P120" s="29" t="str">
        <f t="shared" si="34"/>
        <v/>
      </c>
      <c r="Q120" s="29" t="str">
        <f t="shared" si="35"/>
        <v/>
      </c>
      <c r="R120" s="29" t="str">
        <f t="shared" si="36"/>
        <v/>
      </c>
      <c r="S120" s="34">
        <f t="shared" si="37"/>
        <v>0</v>
      </c>
      <c r="T120" s="34">
        <f t="shared" si="38"/>
        <v>0</v>
      </c>
      <c r="U120" s="38" t="str">
        <f t="shared" si="39"/>
        <v/>
      </c>
      <c r="V120" s="49" t="str">
        <f>IF(G120="","",IFERROR(VLOOKUP(G120,Kategorien!$A$2:$E$23,5,FALSE),""))</f>
        <v/>
      </c>
    </row>
    <row r="121" spans="1:22" x14ac:dyDescent="0.25">
      <c r="A121" s="21"/>
      <c r="B121" s="22"/>
      <c r="C121" s="29" t="str">
        <f>IF(G121="","",IFERROR(VLOOKUP(G121,Kategorien!$A$2:$E$23,2,FALSE),"Kategorie prüfen"))</f>
        <v/>
      </c>
      <c r="D121" s="22"/>
      <c r="E121" s="22"/>
      <c r="F121" s="22"/>
      <c r="G121" s="22"/>
      <c r="H121" s="22"/>
      <c r="I121" s="26"/>
      <c r="J121" s="33" t="str">
        <f>IF(G121="","",IFERROR(VLOOKUP(G121,Kategorien!$A$2:$E$23,3,FALSE),0))</f>
        <v/>
      </c>
      <c r="K121" s="34" t="str">
        <f t="shared" si="30"/>
        <v/>
      </c>
      <c r="L121" s="34" t="str">
        <f t="shared" si="31"/>
        <v/>
      </c>
      <c r="M121" s="33" t="str">
        <f>IF(G121="","",IFERROR(VLOOKUP(G121,Kategorien!$A$2:$E$23,4,FALSE),1))</f>
        <v/>
      </c>
      <c r="N121" s="34" t="str">
        <f t="shared" si="32"/>
        <v/>
      </c>
      <c r="O121" s="34">
        <f t="shared" si="33"/>
        <v>0</v>
      </c>
      <c r="P121" s="29" t="str">
        <f t="shared" si="34"/>
        <v/>
      </c>
      <c r="Q121" s="29" t="str">
        <f t="shared" si="35"/>
        <v/>
      </c>
      <c r="R121" s="29" t="str">
        <f t="shared" si="36"/>
        <v/>
      </c>
      <c r="S121" s="34">
        <f t="shared" si="37"/>
        <v>0</v>
      </c>
      <c r="T121" s="34">
        <f t="shared" si="38"/>
        <v>0</v>
      </c>
      <c r="U121" s="38" t="str">
        <f t="shared" si="39"/>
        <v/>
      </c>
      <c r="V121" s="49" t="str">
        <f>IF(G121="","",IFERROR(VLOOKUP(G121,Kategorien!$A$2:$E$23,5,FALSE),""))</f>
        <v/>
      </c>
    </row>
    <row r="122" spans="1:22" x14ac:dyDescent="0.25">
      <c r="A122" s="21"/>
      <c r="B122" s="22"/>
      <c r="C122" s="29" t="str">
        <f>IF(G122="","",IFERROR(VLOOKUP(G122,Kategorien!$A$2:$E$23,2,FALSE),"Kategorie prüfen"))</f>
        <v/>
      </c>
      <c r="D122" s="22"/>
      <c r="E122" s="22"/>
      <c r="F122" s="22"/>
      <c r="G122" s="22"/>
      <c r="H122" s="22"/>
      <c r="I122" s="26"/>
      <c r="J122" s="33" t="str">
        <f>IF(G122="","",IFERROR(VLOOKUP(G122,Kategorien!$A$2:$E$23,3,FALSE),0))</f>
        <v/>
      </c>
      <c r="K122" s="34" t="str">
        <f t="shared" si="30"/>
        <v/>
      </c>
      <c r="L122" s="34" t="str">
        <f t="shared" si="31"/>
        <v/>
      </c>
      <c r="M122" s="33" t="str">
        <f>IF(G122="","",IFERROR(VLOOKUP(G122,Kategorien!$A$2:$E$23,4,FALSE),1))</f>
        <v/>
      </c>
      <c r="N122" s="34" t="str">
        <f t="shared" si="32"/>
        <v/>
      </c>
      <c r="O122" s="34">
        <f t="shared" si="33"/>
        <v>0</v>
      </c>
      <c r="P122" s="29" t="str">
        <f t="shared" si="34"/>
        <v/>
      </c>
      <c r="Q122" s="29" t="str">
        <f t="shared" si="35"/>
        <v/>
      </c>
      <c r="R122" s="29" t="str">
        <f t="shared" si="36"/>
        <v/>
      </c>
      <c r="S122" s="34">
        <f t="shared" si="37"/>
        <v>0</v>
      </c>
      <c r="T122" s="34">
        <f t="shared" si="38"/>
        <v>0</v>
      </c>
      <c r="U122" s="38" t="str">
        <f t="shared" si="39"/>
        <v/>
      </c>
      <c r="V122" s="49" t="str">
        <f>IF(G122="","",IFERROR(VLOOKUP(G122,Kategorien!$A$2:$E$23,5,FALSE),""))</f>
        <v/>
      </c>
    </row>
    <row r="123" spans="1:22" x14ac:dyDescent="0.25">
      <c r="A123" s="21"/>
      <c r="B123" s="22"/>
      <c r="C123" s="29" t="str">
        <f>IF(G123="","",IFERROR(VLOOKUP(G123,Kategorien!$A$2:$E$23,2,FALSE),"Kategorie prüfen"))</f>
        <v/>
      </c>
      <c r="D123" s="22"/>
      <c r="E123" s="22"/>
      <c r="F123" s="22"/>
      <c r="G123" s="22"/>
      <c r="H123" s="22"/>
      <c r="I123" s="26"/>
      <c r="J123" s="33" t="str">
        <f>IF(G123="","",IFERROR(VLOOKUP(G123,Kategorien!$A$2:$E$23,3,FALSE),0))</f>
        <v/>
      </c>
      <c r="K123" s="34" t="str">
        <f t="shared" si="30"/>
        <v/>
      </c>
      <c r="L123" s="34" t="str">
        <f t="shared" si="31"/>
        <v/>
      </c>
      <c r="M123" s="33" t="str">
        <f>IF(G123="","",IFERROR(VLOOKUP(G123,Kategorien!$A$2:$E$23,4,FALSE),1))</f>
        <v/>
      </c>
      <c r="N123" s="34" t="str">
        <f t="shared" si="32"/>
        <v/>
      </c>
      <c r="O123" s="34">
        <f t="shared" si="33"/>
        <v>0</v>
      </c>
      <c r="P123" s="29" t="str">
        <f t="shared" si="34"/>
        <v/>
      </c>
      <c r="Q123" s="29" t="str">
        <f t="shared" si="35"/>
        <v/>
      </c>
      <c r="R123" s="29" t="str">
        <f t="shared" si="36"/>
        <v/>
      </c>
      <c r="S123" s="34">
        <f t="shared" si="37"/>
        <v>0</v>
      </c>
      <c r="T123" s="34">
        <f t="shared" si="38"/>
        <v>0</v>
      </c>
      <c r="U123" s="38" t="str">
        <f t="shared" si="39"/>
        <v/>
      </c>
      <c r="V123" s="49" t="str">
        <f>IF(G123="","",IFERROR(VLOOKUP(G123,Kategorien!$A$2:$E$23,5,FALSE),""))</f>
        <v/>
      </c>
    </row>
    <row r="124" spans="1:22" x14ac:dyDescent="0.25">
      <c r="A124" s="21"/>
      <c r="B124" s="22"/>
      <c r="C124" s="29" t="str">
        <f>IF(G124="","",IFERROR(VLOOKUP(G124,Kategorien!$A$2:$E$23,2,FALSE),"Kategorie prüfen"))</f>
        <v/>
      </c>
      <c r="D124" s="22"/>
      <c r="E124" s="22"/>
      <c r="F124" s="22"/>
      <c r="G124" s="22"/>
      <c r="H124" s="22"/>
      <c r="I124" s="26"/>
      <c r="J124" s="33" t="str">
        <f>IF(G124="","",IFERROR(VLOOKUP(G124,Kategorien!$A$2:$E$23,3,FALSE),0))</f>
        <v/>
      </c>
      <c r="K124" s="34" t="str">
        <f t="shared" si="30"/>
        <v/>
      </c>
      <c r="L124" s="34" t="str">
        <f t="shared" si="31"/>
        <v/>
      </c>
      <c r="M124" s="33" t="str">
        <f>IF(G124="","",IFERROR(VLOOKUP(G124,Kategorien!$A$2:$E$23,4,FALSE),1))</f>
        <v/>
      </c>
      <c r="N124" s="34" t="str">
        <f t="shared" si="32"/>
        <v/>
      </c>
      <c r="O124" s="34">
        <f t="shared" si="33"/>
        <v>0</v>
      </c>
      <c r="P124" s="29" t="str">
        <f t="shared" si="34"/>
        <v/>
      </c>
      <c r="Q124" s="29" t="str">
        <f t="shared" si="35"/>
        <v/>
      </c>
      <c r="R124" s="29" t="str">
        <f t="shared" si="36"/>
        <v/>
      </c>
      <c r="S124" s="34">
        <f t="shared" si="37"/>
        <v>0</v>
      </c>
      <c r="T124" s="34">
        <f t="shared" si="38"/>
        <v>0</v>
      </c>
      <c r="U124" s="38" t="str">
        <f t="shared" si="39"/>
        <v/>
      </c>
      <c r="V124" s="49" t="str">
        <f>IF(G124="","",IFERROR(VLOOKUP(G124,Kategorien!$A$2:$E$23,5,FALSE),""))</f>
        <v/>
      </c>
    </row>
    <row r="125" spans="1:22" x14ac:dyDescent="0.25">
      <c r="A125" s="21"/>
      <c r="B125" s="22"/>
      <c r="C125" s="29" t="str">
        <f>IF(G125="","",IFERROR(VLOOKUP(G125,Kategorien!$A$2:$E$23,2,FALSE),"Kategorie prüfen"))</f>
        <v/>
      </c>
      <c r="D125" s="22"/>
      <c r="E125" s="22"/>
      <c r="F125" s="22"/>
      <c r="G125" s="22"/>
      <c r="H125" s="22"/>
      <c r="I125" s="26"/>
      <c r="J125" s="33" t="str">
        <f>IF(G125="","",IFERROR(VLOOKUP(G125,Kategorien!$A$2:$E$23,3,FALSE),0))</f>
        <v/>
      </c>
      <c r="K125" s="34" t="str">
        <f t="shared" si="30"/>
        <v/>
      </c>
      <c r="L125" s="34" t="str">
        <f t="shared" si="31"/>
        <v/>
      </c>
      <c r="M125" s="33" t="str">
        <f>IF(G125="","",IFERROR(VLOOKUP(G125,Kategorien!$A$2:$E$23,4,FALSE),1))</f>
        <v/>
      </c>
      <c r="N125" s="34" t="str">
        <f t="shared" si="32"/>
        <v/>
      </c>
      <c r="O125" s="34">
        <f t="shared" si="33"/>
        <v>0</v>
      </c>
      <c r="P125" s="29" t="str">
        <f t="shared" si="34"/>
        <v/>
      </c>
      <c r="Q125" s="29" t="str">
        <f t="shared" si="35"/>
        <v/>
      </c>
      <c r="R125" s="29" t="str">
        <f t="shared" si="36"/>
        <v/>
      </c>
      <c r="S125" s="34">
        <f t="shared" si="37"/>
        <v>0</v>
      </c>
      <c r="T125" s="34">
        <f t="shared" si="38"/>
        <v>0</v>
      </c>
      <c r="U125" s="38" t="str">
        <f t="shared" si="39"/>
        <v/>
      </c>
      <c r="V125" s="49" t="str">
        <f>IF(G125="","",IFERROR(VLOOKUP(G125,Kategorien!$A$2:$E$23,5,FALSE),""))</f>
        <v/>
      </c>
    </row>
    <row r="126" spans="1:22" x14ac:dyDescent="0.25">
      <c r="A126" s="21"/>
      <c r="B126" s="22"/>
      <c r="C126" s="29" t="str">
        <f>IF(G126="","",IFERROR(VLOOKUP(G126,Kategorien!$A$2:$E$23,2,FALSE),"Kategorie prüfen"))</f>
        <v/>
      </c>
      <c r="D126" s="22"/>
      <c r="E126" s="22"/>
      <c r="F126" s="22"/>
      <c r="G126" s="22"/>
      <c r="H126" s="22"/>
      <c r="I126" s="26"/>
      <c r="J126" s="33" t="str">
        <f>IF(G126="","",IFERROR(VLOOKUP(G126,Kategorien!$A$2:$E$23,3,FALSE),0))</f>
        <v/>
      </c>
      <c r="K126" s="34" t="str">
        <f t="shared" si="30"/>
        <v/>
      </c>
      <c r="L126" s="34" t="str">
        <f t="shared" si="31"/>
        <v/>
      </c>
      <c r="M126" s="33" t="str">
        <f>IF(G126="","",IFERROR(VLOOKUP(G126,Kategorien!$A$2:$E$23,4,FALSE),1))</f>
        <v/>
      </c>
      <c r="N126" s="34" t="str">
        <f t="shared" si="32"/>
        <v/>
      </c>
      <c r="O126" s="34">
        <f t="shared" si="33"/>
        <v>0</v>
      </c>
      <c r="P126" s="29" t="str">
        <f t="shared" si="34"/>
        <v/>
      </c>
      <c r="Q126" s="29" t="str">
        <f t="shared" si="35"/>
        <v/>
      </c>
      <c r="R126" s="29" t="str">
        <f t="shared" si="36"/>
        <v/>
      </c>
      <c r="S126" s="34">
        <f t="shared" si="37"/>
        <v>0</v>
      </c>
      <c r="T126" s="34">
        <f t="shared" si="38"/>
        <v>0</v>
      </c>
      <c r="U126" s="38" t="str">
        <f t="shared" si="39"/>
        <v/>
      </c>
      <c r="V126" s="49" t="str">
        <f>IF(G126="","",IFERROR(VLOOKUP(G126,Kategorien!$A$2:$E$23,5,FALSE),""))</f>
        <v/>
      </c>
    </row>
    <row r="127" spans="1:22" x14ac:dyDescent="0.25">
      <c r="A127" s="21"/>
      <c r="B127" s="22"/>
      <c r="C127" s="29" t="str">
        <f>IF(G127="","",IFERROR(VLOOKUP(G127,Kategorien!$A$2:$E$23,2,FALSE),"Kategorie prüfen"))</f>
        <v/>
      </c>
      <c r="D127" s="22"/>
      <c r="E127" s="22"/>
      <c r="F127" s="22"/>
      <c r="G127" s="22"/>
      <c r="H127" s="22"/>
      <c r="I127" s="26"/>
      <c r="J127" s="33" t="str">
        <f>IF(G127="","",IFERROR(VLOOKUP(G127,Kategorien!$A$2:$E$23,3,FALSE),0))</f>
        <v/>
      </c>
      <c r="K127" s="34" t="str">
        <f t="shared" si="30"/>
        <v/>
      </c>
      <c r="L127" s="34" t="str">
        <f t="shared" si="31"/>
        <v/>
      </c>
      <c r="M127" s="33" t="str">
        <f>IF(G127="","",IFERROR(VLOOKUP(G127,Kategorien!$A$2:$E$23,4,FALSE),1))</f>
        <v/>
      </c>
      <c r="N127" s="34" t="str">
        <f t="shared" si="32"/>
        <v/>
      </c>
      <c r="O127" s="34">
        <f t="shared" si="33"/>
        <v>0</v>
      </c>
      <c r="P127" s="29" t="str">
        <f t="shared" si="34"/>
        <v/>
      </c>
      <c r="Q127" s="29" t="str">
        <f t="shared" si="35"/>
        <v/>
      </c>
      <c r="R127" s="29" t="str">
        <f t="shared" si="36"/>
        <v/>
      </c>
      <c r="S127" s="34">
        <f t="shared" si="37"/>
        <v>0</v>
      </c>
      <c r="T127" s="34">
        <f t="shared" si="38"/>
        <v>0</v>
      </c>
      <c r="U127" s="38" t="str">
        <f t="shared" si="39"/>
        <v/>
      </c>
      <c r="V127" s="49" t="str">
        <f>IF(G127="","",IFERROR(VLOOKUP(G127,Kategorien!$A$2:$E$23,5,FALSE),""))</f>
        <v/>
      </c>
    </row>
    <row r="128" spans="1:22" x14ac:dyDescent="0.25">
      <c r="A128" s="21"/>
      <c r="B128" s="22"/>
      <c r="C128" s="29" t="str">
        <f>IF(G128="","",IFERROR(VLOOKUP(G128,Kategorien!$A$2:$E$23,2,FALSE),"Kategorie prüfen"))</f>
        <v/>
      </c>
      <c r="D128" s="22"/>
      <c r="E128" s="22"/>
      <c r="F128" s="22"/>
      <c r="G128" s="22"/>
      <c r="H128" s="22"/>
      <c r="I128" s="26"/>
      <c r="J128" s="33" t="str">
        <f>IF(G128="","",IFERROR(VLOOKUP(G128,Kategorien!$A$2:$E$23,3,FALSE),0))</f>
        <v/>
      </c>
      <c r="K128" s="34" t="str">
        <f t="shared" si="30"/>
        <v/>
      </c>
      <c r="L128" s="34" t="str">
        <f t="shared" si="31"/>
        <v/>
      </c>
      <c r="M128" s="33" t="str">
        <f>IF(G128="","",IFERROR(VLOOKUP(G128,Kategorien!$A$2:$E$23,4,FALSE),1))</f>
        <v/>
      </c>
      <c r="N128" s="34" t="str">
        <f t="shared" si="32"/>
        <v/>
      </c>
      <c r="O128" s="34">
        <f t="shared" si="33"/>
        <v>0</v>
      </c>
      <c r="P128" s="29" t="str">
        <f t="shared" si="34"/>
        <v/>
      </c>
      <c r="Q128" s="29" t="str">
        <f t="shared" si="35"/>
        <v/>
      </c>
      <c r="R128" s="29" t="str">
        <f t="shared" si="36"/>
        <v/>
      </c>
      <c r="S128" s="34">
        <f t="shared" si="37"/>
        <v>0</v>
      </c>
      <c r="T128" s="34">
        <f t="shared" si="38"/>
        <v>0</v>
      </c>
      <c r="U128" s="38" t="str">
        <f t="shared" si="39"/>
        <v/>
      </c>
      <c r="V128" s="49" t="str">
        <f>IF(G128="","",IFERROR(VLOOKUP(G128,Kategorien!$A$2:$E$23,5,FALSE),""))</f>
        <v/>
      </c>
    </row>
    <row r="129" spans="1:22" x14ac:dyDescent="0.25">
      <c r="A129" s="21"/>
      <c r="B129" s="22"/>
      <c r="C129" s="29" t="str">
        <f>IF(G129="","",IFERROR(VLOOKUP(G129,Kategorien!$A$2:$E$23,2,FALSE),"Kategorie prüfen"))</f>
        <v/>
      </c>
      <c r="D129" s="22"/>
      <c r="E129" s="22"/>
      <c r="F129" s="22"/>
      <c r="G129" s="22"/>
      <c r="H129" s="22"/>
      <c r="I129" s="26"/>
      <c r="J129" s="33" t="str">
        <f>IF(G129="","",IFERROR(VLOOKUP(G129,Kategorien!$A$2:$E$23,3,FALSE),0))</f>
        <v/>
      </c>
      <c r="K129" s="34" t="str">
        <f t="shared" si="30"/>
        <v/>
      </c>
      <c r="L129" s="34" t="str">
        <f t="shared" si="31"/>
        <v/>
      </c>
      <c r="M129" s="33" t="str">
        <f>IF(G129="","",IFERROR(VLOOKUP(G129,Kategorien!$A$2:$E$23,4,FALSE),1))</f>
        <v/>
      </c>
      <c r="N129" s="34" t="str">
        <f t="shared" si="32"/>
        <v/>
      </c>
      <c r="O129" s="34">
        <f t="shared" si="33"/>
        <v>0</v>
      </c>
      <c r="P129" s="29" t="str">
        <f t="shared" si="34"/>
        <v/>
      </c>
      <c r="Q129" s="29" t="str">
        <f t="shared" si="35"/>
        <v/>
      </c>
      <c r="R129" s="29" t="str">
        <f t="shared" si="36"/>
        <v/>
      </c>
      <c r="S129" s="34">
        <f t="shared" si="37"/>
        <v>0</v>
      </c>
      <c r="T129" s="34">
        <f t="shared" si="38"/>
        <v>0</v>
      </c>
      <c r="U129" s="38" t="str">
        <f t="shared" si="39"/>
        <v/>
      </c>
      <c r="V129" s="49" t="str">
        <f>IF(G129="","",IFERROR(VLOOKUP(G129,Kategorien!$A$2:$E$23,5,FALSE),""))</f>
        <v/>
      </c>
    </row>
    <row r="130" spans="1:22" x14ac:dyDescent="0.25">
      <c r="A130" s="21"/>
      <c r="B130" s="22"/>
      <c r="C130" s="29" t="str">
        <f>IF(G130="","",IFERROR(VLOOKUP(G130,Kategorien!$A$2:$E$23,2,FALSE),"Kategorie prüfen"))</f>
        <v/>
      </c>
      <c r="D130" s="22"/>
      <c r="E130" s="22"/>
      <c r="F130" s="22"/>
      <c r="G130" s="22"/>
      <c r="H130" s="22"/>
      <c r="I130" s="26"/>
      <c r="J130" s="33" t="str">
        <f>IF(G130="","",IFERROR(VLOOKUP(G130,Kategorien!$A$2:$E$23,3,FALSE),0))</f>
        <v/>
      </c>
      <c r="K130" s="34" t="str">
        <f t="shared" ref="K130:K161" si="40">IF(OR(A130="",I130=""),"",ROUND(I130/(1+J130),2))</f>
        <v/>
      </c>
      <c r="L130" s="34" t="str">
        <f t="shared" ref="L130:L161" si="41">IF(K130="","",ROUND(I130-K130,2))</f>
        <v/>
      </c>
      <c r="M130" s="33" t="str">
        <f>IF(G130="","",IFERROR(VLOOKUP(G130,Kategorien!$A$2:$E$23,4,FALSE),1))</f>
        <v/>
      </c>
      <c r="N130" s="34" t="str">
        <f t="shared" ref="N130:N161" si="42">IF(K130="","",IF(C130="Einnahme",K130,IF(C130="Ausgabe",-K130*M130,0)))</f>
        <v/>
      </c>
      <c r="O130" s="34">
        <f t="shared" ref="O130:O151" si="43">IF(OR(D130&lt;&gt;"Bezahlt",I130=""),0,IF(OR(C130="Einnahme",C130="Privateinlage"),I130,IF(OR(C130="Ausgabe",C130="Steuerzahlung",C130="Privatentnahme"),-I130,0)))</f>
        <v>0</v>
      </c>
      <c r="P130" s="29" t="str">
        <f t="shared" ref="P130:P151" si="44">IF(A130="","",MONTH(A130))</f>
        <v/>
      </c>
      <c r="Q130" s="29" t="str">
        <f t="shared" ref="Q130:Q151" si="45">IF(A130="","","Q"&amp;ROUNDUP(MONTH(A130)/3,0))</f>
        <v/>
      </c>
      <c r="R130" s="29" t="str">
        <f t="shared" ref="R130:R151" si="46">IF(A130="","",YEAR(A130))</f>
        <v/>
      </c>
      <c r="S130" s="34">
        <f t="shared" ref="S130:S151" si="47">IF(AND(C130="Einnahme",D130="Bezahlt"),L130,0)</f>
        <v>0</v>
      </c>
      <c r="T130" s="34">
        <f t="shared" ref="T130:T151" si="48">IF(AND(C130="Ausgabe",D130="Bezahlt"),L130*M130,0)</f>
        <v>0</v>
      </c>
      <c r="U130" s="38" t="str">
        <f t="shared" ref="U130:U151" si="49">IF(A130="","",IF(B130="","Beleg-Nr. fehlt",IF(I130&lt;=0,"Betrag prüfen",IF(C130="Kategorie prüfen","Kategorie prüfen",""))))</f>
        <v/>
      </c>
      <c r="V130" s="49" t="str">
        <f>IF(G130="","",IFERROR(VLOOKUP(G130,Kategorien!$A$2:$E$23,5,FALSE),""))</f>
        <v/>
      </c>
    </row>
    <row r="131" spans="1:22" x14ac:dyDescent="0.25">
      <c r="A131" s="21"/>
      <c r="B131" s="22"/>
      <c r="C131" s="29" t="str">
        <f>IF(G131="","",IFERROR(VLOOKUP(G131,Kategorien!$A$2:$E$23,2,FALSE),"Kategorie prüfen"))</f>
        <v/>
      </c>
      <c r="D131" s="22"/>
      <c r="E131" s="22"/>
      <c r="F131" s="22"/>
      <c r="G131" s="22"/>
      <c r="H131" s="22"/>
      <c r="I131" s="26"/>
      <c r="J131" s="33" t="str">
        <f>IF(G131="","",IFERROR(VLOOKUP(G131,Kategorien!$A$2:$E$23,3,FALSE),0))</f>
        <v/>
      </c>
      <c r="K131" s="34" t="str">
        <f t="shared" si="40"/>
        <v/>
      </c>
      <c r="L131" s="34" t="str">
        <f t="shared" si="41"/>
        <v/>
      </c>
      <c r="M131" s="33" t="str">
        <f>IF(G131="","",IFERROR(VLOOKUP(G131,Kategorien!$A$2:$E$23,4,FALSE),1))</f>
        <v/>
      </c>
      <c r="N131" s="34" t="str">
        <f t="shared" si="42"/>
        <v/>
      </c>
      <c r="O131" s="34">
        <f t="shared" si="43"/>
        <v>0</v>
      </c>
      <c r="P131" s="29" t="str">
        <f t="shared" si="44"/>
        <v/>
      </c>
      <c r="Q131" s="29" t="str">
        <f t="shared" si="45"/>
        <v/>
      </c>
      <c r="R131" s="29" t="str">
        <f t="shared" si="46"/>
        <v/>
      </c>
      <c r="S131" s="34">
        <f t="shared" si="47"/>
        <v>0</v>
      </c>
      <c r="T131" s="34">
        <f t="shared" si="48"/>
        <v>0</v>
      </c>
      <c r="U131" s="38" t="str">
        <f t="shared" si="49"/>
        <v/>
      </c>
      <c r="V131" s="49" t="str">
        <f>IF(G131="","",IFERROR(VLOOKUP(G131,Kategorien!$A$2:$E$23,5,FALSE),""))</f>
        <v/>
      </c>
    </row>
    <row r="132" spans="1:22" x14ac:dyDescent="0.25">
      <c r="A132" s="21"/>
      <c r="B132" s="22"/>
      <c r="C132" s="29" t="str">
        <f>IF(G132="","",IFERROR(VLOOKUP(G132,Kategorien!$A$2:$E$23,2,FALSE),"Kategorie prüfen"))</f>
        <v/>
      </c>
      <c r="D132" s="22"/>
      <c r="E132" s="22"/>
      <c r="F132" s="22"/>
      <c r="G132" s="22"/>
      <c r="H132" s="22"/>
      <c r="I132" s="26"/>
      <c r="J132" s="33" t="str">
        <f>IF(G132="","",IFERROR(VLOOKUP(G132,Kategorien!$A$2:$E$23,3,FALSE),0))</f>
        <v/>
      </c>
      <c r="K132" s="34" t="str">
        <f t="shared" si="40"/>
        <v/>
      </c>
      <c r="L132" s="34" t="str">
        <f t="shared" si="41"/>
        <v/>
      </c>
      <c r="M132" s="33" t="str">
        <f>IF(G132="","",IFERROR(VLOOKUP(G132,Kategorien!$A$2:$E$23,4,FALSE),1))</f>
        <v/>
      </c>
      <c r="N132" s="34" t="str">
        <f t="shared" si="42"/>
        <v/>
      </c>
      <c r="O132" s="34">
        <f t="shared" si="43"/>
        <v>0</v>
      </c>
      <c r="P132" s="29" t="str">
        <f t="shared" si="44"/>
        <v/>
      </c>
      <c r="Q132" s="29" t="str">
        <f t="shared" si="45"/>
        <v/>
      </c>
      <c r="R132" s="29" t="str">
        <f t="shared" si="46"/>
        <v/>
      </c>
      <c r="S132" s="34">
        <f t="shared" si="47"/>
        <v>0</v>
      </c>
      <c r="T132" s="34">
        <f t="shared" si="48"/>
        <v>0</v>
      </c>
      <c r="U132" s="38" t="str">
        <f t="shared" si="49"/>
        <v/>
      </c>
      <c r="V132" s="49" t="str">
        <f>IF(G132="","",IFERROR(VLOOKUP(G132,Kategorien!$A$2:$E$23,5,FALSE),""))</f>
        <v/>
      </c>
    </row>
    <row r="133" spans="1:22" x14ac:dyDescent="0.25">
      <c r="A133" s="21"/>
      <c r="B133" s="22"/>
      <c r="C133" s="29" t="str">
        <f>IF(G133="","",IFERROR(VLOOKUP(G133,Kategorien!$A$2:$E$23,2,FALSE),"Kategorie prüfen"))</f>
        <v/>
      </c>
      <c r="D133" s="22"/>
      <c r="E133" s="22"/>
      <c r="F133" s="22"/>
      <c r="G133" s="22"/>
      <c r="H133" s="22"/>
      <c r="I133" s="26"/>
      <c r="J133" s="33" t="str">
        <f>IF(G133="","",IFERROR(VLOOKUP(G133,Kategorien!$A$2:$E$23,3,FALSE),0))</f>
        <v/>
      </c>
      <c r="K133" s="34" t="str">
        <f t="shared" si="40"/>
        <v/>
      </c>
      <c r="L133" s="34" t="str">
        <f t="shared" si="41"/>
        <v/>
      </c>
      <c r="M133" s="33" t="str">
        <f>IF(G133="","",IFERROR(VLOOKUP(G133,Kategorien!$A$2:$E$23,4,FALSE),1))</f>
        <v/>
      </c>
      <c r="N133" s="34" t="str">
        <f t="shared" si="42"/>
        <v/>
      </c>
      <c r="O133" s="34">
        <f t="shared" si="43"/>
        <v>0</v>
      </c>
      <c r="P133" s="29" t="str">
        <f t="shared" si="44"/>
        <v/>
      </c>
      <c r="Q133" s="29" t="str">
        <f t="shared" si="45"/>
        <v/>
      </c>
      <c r="R133" s="29" t="str">
        <f t="shared" si="46"/>
        <v/>
      </c>
      <c r="S133" s="34">
        <f t="shared" si="47"/>
        <v>0</v>
      </c>
      <c r="T133" s="34">
        <f t="shared" si="48"/>
        <v>0</v>
      </c>
      <c r="U133" s="38" t="str">
        <f t="shared" si="49"/>
        <v/>
      </c>
      <c r="V133" s="49" t="str">
        <f>IF(G133="","",IFERROR(VLOOKUP(G133,Kategorien!$A$2:$E$23,5,FALSE),""))</f>
        <v/>
      </c>
    </row>
    <row r="134" spans="1:22" x14ac:dyDescent="0.25">
      <c r="A134" s="21"/>
      <c r="B134" s="22"/>
      <c r="C134" s="29" t="str">
        <f>IF(G134="","",IFERROR(VLOOKUP(G134,Kategorien!$A$2:$E$23,2,FALSE),"Kategorie prüfen"))</f>
        <v/>
      </c>
      <c r="D134" s="22"/>
      <c r="E134" s="22"/>
      <c r="F134" s="22"/>
      <c r="G134" s="22"/>
      <c r="H134" s="22"/>
      <c r="I134" s="26"/>
      <c r="J134" s="33" t="str">
        <f>IF(G134="","",IFERROR(VLOOKUP(G134,Kategorien!$A$2:$E$23,3,FALSE),0))</f>
        <v/>
      </c>
      <c r="K134" s="34" t="str">
        <f t="shared" si="40"/>
        <v/>
      </c>
      <c r="L134" s="34" t="str">
        <f t="shared" si="41"/>
        <v/>
      </c>
      <c r="M134" s="33" t="str">
        <f>IF(G134="","",IFERROR(VLOOKUP(G134,Kategorien!$A$2:$E$23,4,FALSE),1))</f>
        <v/>
      </c>
      <c r="N134" s="34" t="str">
        <f t="shared" si="42"/>
        <v/>
      </c>
      <c r="O134" s="34">
        <f t="shared" si="43"/>
        <v>0</v>
      </c>
      <c r="P134" s="29" t="str">
        <f t="shared" si="44"/>
        <v/>
      </c>
      <c r="Q134" s="29" t="str">
        <f t="shared" si="45"/>
        <v/>
      </c>
      <c r="R134" s="29" t="str">
        <f t="shared" si="46"/>
        <v/>
      </c>
      <c r="S134" s="34">
        <f t="shared" si="47"/>
        <v>0</v>
      </c>
      <c r="T134" s="34">
        <f t="shared" si="48"/>
        <v>0</v>
      </c>
      <c r="U134" s="38" t="str">
        <f t="shared" si="49"/>
        <v/>
      </c>
      <c r="V134" s="49" t="str">
        <f>IF(G134="","",IFERROR(VLOOKUP(G134,Kategorien!$A$2:$E$23,5,FALSE),""))</f>
        <v/>
      </c>
    </row>
    <row r="135" spans="1:22" x14ac:dyDescent="0.25">
      <c r="A135" s="21"/>
      <c r="B135" s="22"/>
      <c r="C135" s="29" t="str">
        <f>IF(G135="","",IFERROR(VLOOKUP(G135,Kategorien!$A$2:$E$23,2,FALSE),"Kategorie prüfen"))</f>
        <v/>
      </c>
      <c r="D135" s="22"/>
      <c r="E135" s="22"/>
      <c r="F135" s="22"/>
      <c r="G135" s="22"/>
      <c r="H135" s="22"/>
      <c r="I135" s="26"/>
      <c r="J135" s="33" t="str">
        <f>IF(G135="","",IFERROR(VLOOKUP(G135,Kategorien!$A$2:$E$23,3,FALSE),0))</f>
        <v/>
      </c>
      <c r="K135" s="34" t="str">
        <f t="shared" si="40"/>
        <v/>
      </c>
      <c r="L135" s="34" t="str">
        <f t="shared" si="41"/>
        <v/>
      </c>
      <c r="M135" s="33" t="str">
        <f>IF(G135="","",IFERROR(VLOOKUP(G135,Kategorien!$A$2:$E$23,4,FALSE),1))</f>
        <v/>
      </c>
      <c r="N135" s="34" t="str">
        <f t="shared" si="42"/>
        <v/>
      </c>
      <c r="O135" s="34">
        <f t="shared" si="43"/>
        <v>0</v>
      </c>
      <c r="P135" s="29" t="str">
        <f t="shared" si="44"/>
        <v/>
      </c>
      <c r="Q135" s="29" t="str">
        <f t="shared" si="45"/>
        <v/>
      </c>
      <c r="R135" s="29" t="str">
        <f t="shared" si="46"/>
        <v/>
      </c>
      <c r="S135" s="34">
        <f t="shared" si="47"/>
        <v>0</v>
      </c>
      <c r="T135" s="34">
        <f t="shared" si="48"/>
        <v>0</v>
      </c>
      <c r="U135" s="38" t="str">
        <f t="shared" si="49"/>
        <v/>
      </c>
      <c r="V135" s="49" t="str">
        <f>IF(G135="","",IFERROR(VLOOKUP(G135,Kategorien!$A$2:$E$23,5,FALSE),""))</f>
        <v/>
      </c>
    </row>
    <row r="136" spans="1:22" x14ac:dyDescent="0.25">
      <c r="A136" s="21"/>
      <c r="B136" s="22"/>
      <c r="C136" s="29" t="str">
        <f>IF(G136="","",IFERROR(VLOOKUP(G136,Kategorien!$A$2:$E$23,2,FALSE),"Kategorie prüfen"))</f>
        <v/>
      </c>
      <c r="D136" s="22"/>
      <c r="E136" s="22"/>
      <c r="F136" s="22"/>
      <c r="G136" s="22"/>
      <c r="H136" s="22"/>
      <c r="I136" s="26"/>
      <c r="J136" s="33" t="str">
        <f>IF(G136="","",IFERROR(VLOOKUP(G136,Kategorien!$A$2:$E$23,3,FALSE),0))</f>
        <v/>
      </c>
      <c r="K136" s="34" t="str">
        <f t="shared" si="40"/>
        <v/>
      </c>
      <c r="L136" s="34" t="str">
        <f t="shared" si="41"/>
        <v/>
      </c>
      <c r="M136" s="33" t="str">
        <f>IF(G136="","",IFERROR(VLOOKUP(G136,Kategorien!$A$2:$E$23,4,FALSE),1))</f>
        <v/>
      </c>
      <c r="N136" s="34" t="str">
        <f t="shared" si="42"/>
        <v/>
      </c>
      <c r="O136" s="34">
        <f t="shared" si="43"/>
        <v>0</v>
      </c>
      <c r="P136" s="29" t="str">
        <f t="shared" si="44"/>
        <v/>
      </c>
      <c r="Q136" s="29" t="str">
        <f t="shared" si="45"/>
        <v/>
      </c>
      <c r="R136" s="29" t="str">
        <f t="shared" si="46"/>
        <v/>
      </c>
      <c r="S136" s="34">
        <f t="shared" si="47"/>
        <v>0</v>
      </c>
      <c r="T136" s="34">
        <f t="shared" si="48"/>
        <v>0</v>
      </c>
      <c r="U136" s="38" t="str">
        <f t="shared" si="49"/>
        <v/>
      </c>
      <c r="V136" s="49" t="str">
        <f>IF(G136="","",IFERROR(VLOOKUP(G136,Kategorien!$A$2:$E$23,5,FALSE),""))</f>
        <v/>
      </c>
    </row>
    <row r="137" spans="1:22" x14ac:dyDescent="0.25">
      <c r="A137" s="21"/>
      <c r="B137" s="22"/>
      <c r="C137" s="29" t="str">
        <f>IF(G137="","",IFERROR(VLOOKUP(G137,Kategorien!$A$2:$E$23,2,FALSE),"Kategorie prüfen"))</f>
        <v/>
      </c>
      <c r="D137" s="22"/>
      <c r="E137" s="22"/>
      <c r="F137" s="22"/>
      <c r="G137" s="22"/>
      <c r="H137" s="22"/>
      <c r="I137" s="26"/>
      <c r="J137" s="33" t="str">
        <f>IF(G137="","",IFERROR(VLOOKUP(G137,Kategorien!$A$2:$E$23,3,FALSE),0))</f>
        <v/>
      </c>
      <c r="K137" s="34" t="str">
        <f t="shared" si="40"/>
        <v/>
      </c>
      <c r="L137" s="34" t="str">
        <f t="shared" si="41"/>
        <v/>
      </c>
      <c r="M137" s="33" t="str">
        <f>IF(G137="","",IFERROR(VLOOKUP(G137,Kategorien!$A$2:$E$23,4,FALSE),1))</f>
        <v/>
      </c>
      <c r="N137" s="34" t="str">
        <f t="shared" si="42"/>
        <v/>
      </c>
      <c r="O137" s="34">
        <f t="shared" si="43"/>
        <v>0</v>
      </c>
      <c r="P137" s="29" t="str">
        <f t="shared" si="44"/>
        <v/>
      </c>
      <c r="Q137" s="29" t="str">
        <f t="shared" si="45"/>
        <v/>
      </c>
      <c r="R137" s="29" t="str">
        <f t="shared" si="46"/>
        <v/>
      </c>
      <c r="S137" s="34">
        <f t="shared" si="47"/>
        <v>0</v>
      </c>
      <c r="T137" s="34">
        <f t="shared" si="48"/>
        <v>0</v>
      </c>
      <c r="U137" s="38" t="str">
        <f t="shared" si="49"/>
        <v/>
      </c>
      <c r="V137" s="49" t="str">
        <f>IF(G137="","",IFERROR(VLOOKUP(G137,Kategorien!$A$2:$E$23,5,FALSE),""))</f>
        <v/>
      </c>
    </row>
    <row r="138" spans="1:22" x14ac:dyDescent="0.25">
      <c r="A138" s="21"/>
      <c r="B138" s="22"/>
      <c r="C138" s="29" t="str">
        <f>IF(G138="","",IFERROR(VLOOKUP(G138,Kategorien!$A$2:$E$23,2,FALSE),"Kategorie prüfen"))</f>
        <v/>
      </c>
      <c r="D138" s="22"/>
      <c r="E138" s="22"/>
      <c r="F138" s="22"/>
      <c r="G138" s="22"/>
      <c r="H138" s="22"/>
      <c r="I138" s="26"/>
      <c r="J138" s="33" t="str">
        <f>IF(G138="","",IFERROR(VLOOKUP(G138,Kategorien!$A$2:$E$23,3,FALSE),0))</f>
        <v/>
      </c>
      <c r="K138" s="34" t="str">
        <f t="shared" si="40"/>
        <v/>
      </c>
      <c r="L138" s="34" t="str">
        <f t="shared" si="41"/>
        <v/>
      </c>
      <c r="M138" s="33" t="str">
        <f>IF(G138="","",IFERROR(VLOOKUP(G138,Kategorien!$A$2:$E$23,4,FALSE),1))</f>
        <v/>
      </c>
      <c r="N138" s="34" t="str">
        <f t="shared" si="42"/>
        <v/>
      </c>
      <c r="O138" s="34">
        <f t="shared" si="43"/>
        <v>0</v>
      </c>
      <c r="P138" s="29" t="str">
        <f t="shared" si="44"/>
        <v/>
      </c>
      <c r="Q138" s="29" t="str">
        <f t="shared" si="45"/>
        <v/>
      </c>
      <c r="R138" s="29" t="str">
        <f t="shared" si="46"/>
        <v/>
      </c>
      <c r="S138" s="34">
        <f t="shared" si="47"/>
        <v>0</v>
      </c>
      <c r="T138" s="34">
        <f t="shared" si="48"/>
        <v>0</v>
      </c>
      <c r="U138" s="38" t="str">
        <f t="shared" si="49"/>
        <v/>
      </c>
      <c r="V138" s="49" t="str">
        <f>IF(G138="","",IFERROR(VLOOKUP(G138,Kategorien!$A$2:$E$23,5,FALSE),""))</f>
        <v/>
      </c>
    </row>
    <row r="139" spans="1:22" x14ac:dyDescent="0.25">
      <c r="A139" s="21"/>
      <c r="B139" s="22"/>
      <c r="C139" s="29" t="str">
        <f>IF(G139="","",IFERROR(VLOOKUP(G139,Kategorien!$A$2:$E$23,2,FALSE),"Kategorie prüfen"))</f>
        <v/>
      </c>
      <c r="D139" s="22"/>
      <c r="E139" s="22"/>
      <c r="F139" s="22"/>
      <c r="G139" s="22"/>
      <c r="H139" s="22"/>
      <c r="I139" s="26"/>
      <c r="J139" s="33" t="str">
        <f>IF(G139="","",IFERROR(VLOOKUP(G139,Kategorien!$A$2:$E$23,3,FALSE),0))</f>
        <v/>
      </c>
      <c r="K139" s="34" t="str">
        <f t="shared" si="40"/>
        <v/>
      </c>
      <c r="L139" s="34" t="str">
        <f t="shared" si="41"/>
        <v/>
      </c>
      <c r="M139" s="33" t="str">
        <f>IF(G139="","",IFERROR(VLOOKUP(G139,Kategorien!$A$2:$E$23,4,FALSE),1))</f>
        <v/>
      </c>
      <c r="N139" s="34" t="str">
        <f t="shared" si="42"/>
        <v/>
      </c>
      <c r="O139" s="34">
        <f t="shared" si="43"/>
        <v>0</v>
      </c>
      <c r="P139" s="29" t="str">
        <f t="shared" si="44"/>
        <v/>
      </c>
      <c r="Q139" s="29" t="str">
        <f t="shared" si="45"/>
        <v/>
      </c>
      <c r="R139" s="29" t="str">
        <f t="shared" si="46"/>
        <v/>
      </c>
      <c r="S139" s="34">
        <f t="shared" si="47"/>
        <v>0</v>
      </c>
      <c r="T139" s="34">
        <f t="shared" si="48"/>
        <v>0</v>
      </c>
      <c r="U139" s="38" t="str">
        <f t="shared" si="49"/>
        <v/>
      </c>
      <c r="V139" s="49" t="str">
        <f>IF(G139="","",IFERROR(VLOOKUP(G139,Kategorien!$A$2:$E$23,5,FALSE),""))</f>
        <v/>
      </c>
    </row>
    <row r="140" spans="1:22" x14ac:dyDescent="0.25">
      <c r="A140" s="21"/>
      <c r="B140" s="22"/>
      <c r="C140" s="29" t="str">
        <f>IF(G140="","",IFERROR(VLOOKUP(G140,Kategorien!$A$2:$E$23,2,FALSE),"Kategorie prüfen"))</f>
        <v/>
      </c>
      <c r="D140" s="22"/>
      <c r="E140" s="22"/>
      <c r="F140" s="22"/>
      <c r="G140" s="22"/>
      <c r="H140" s="22"/>
      <c r="I140" s="26"/>
      <c r="J140" s="33" t="str">
        <f>IF(G140="","",IFERROR(VLOOKUP(G140,Kategorien!$A$2:$E$23,3,FALSE),0))</f>
        <v/>
      </c>
      <c r="K140" s="34" t="str">
        <f t="shared" si="40"/>
        <v/>
      </c>
      <c r="L140" s="34" t="str">
        <f t="shared" si="41"/>
        <v/>
      </c>
      <c r="M140" s="33" t="str">
        <f>IF(G140="","",IFERROR(VLOOKUP(G140,Kategorien!$A$2:$E$23,4,FALSE),1))</f>
        <v/>
      </c>
      <c r="N140" s="34" t="str">
        <f t="shared" si="42"/>
        <v/>
      </c>
      <c r="O140" s="34">
        <f t="shared" si="43"/>
        <v>0</v>
      </c>
      <c r="P140" s="29" t="str">
        <f t="shared" si="44"/>
        <v/>
      </c>
      <c r="Q140" s="29" t="str">
        <f t="shared" si="45"/>
        <v/>
      </c>
      <c r="R140" s="29" t="str">
        <f t="shared" si="46"/>
        <v/>
      </c>
      <c r="S140" s="34">
        <f t="shared" si="47"/>
        <v>0</v>
      </c>
      <c r="T140" s="34">
        <f t="shared" si="48"/>
        <v>0</v>
      </c>
      <c r="U140" s="38" t="str">
        <f t="shared" si="49"/>
        <v/>
      </c>
      <c r="V140" s="49" t="str">
        <f>IF(G140="","",IFERROR(VLOOKUP(G140,Kategorien!$A$2:$E$23,5,FALSE),""))</f>
        <v/>
      </c>
    </row>
    <row r="141" spans="1:22" x14ac:dyDescent="0.25">
      <c r="A141" s="21"/>
      <c r="B141" s="22"/>
      <c r="C141" s="29" t="str">
        <f>IF(G141="","",IFERROR(VLOOKUP(G141,Kategorien!$A$2:$E$23,2,FALSE),"Kategorie prüfen"))</f>
        <v/>
      </c>
      <c r="D141" s="22"/>
      <c r="E141" s="22"/>
      <c r="F141" s="22"/>
      <c r="G141" s="22"/>
      <c r="H141" s="22"/>
      <c r="I141" s="26"/>
      <c r="J141" s="33" t="str">
        <f>IF(G141="","",IFERROR(VLOOKUP(G141,Kategorien!$A$2:$E$23,3,FALSE),0))</f>
        <v/>
      </c>
      <c r="K141" s="34" t="str">
        <f t="shared" si="40"/>
        <v/>
      </c>
      <c r="L141" s="34" t="str">
        <f t="shared" si="41"/>
        <v/>
      </c>
      <c r="M141" s="33" t="str">
        <f>IF(G141="","",IFERROR(VLOOKUP(G141,Kategorien!$A$2:$E$23,4,FALSE),1))</f>
        <v/>
      </c>
      <c r="N141" s="34" t="str">
        <f t="shared" si="42"/>
        <v/>
      </c>
      <c r="O141" s="34">
        <f t="shared" si="43"/>
        <v>0</v>
      </c>
      <c r="P141" s="29" t="str">
        <f t="shared" si="44"/>
        <v/>
      </c>
      <c r="Q141" s="29" t="str">
        <f t="shared" si="45"/>
        <v/>
      </c>
      <c r="R141" s="29" t="str">
        <f t="shared" si="46"/>
        <v/>
      </c>
      <c r="S141" s="34">
        <f t="shared" si="47"/>
        <v>0</v>
      </c>
      <c r="T141" s="34">
        <f t="shared" si="48"/>
        <v>0</v>
      </c>
      <c r="U141" s="38" t="str">
        <f t="shared" si="49"/>
        <v/>
      </c>
      <c r="V141" s="49" t="str">
        <f>IF(G141="","",IFERROR(VLOOKUP(G141,Kategorien!$A$2:$E$23,5,FALSE),""))</f>
        <v/>
      </c>
    </row>
    <row r="142" spans="1:22" x14ac:dyDescent="0.25">
      <c r="A142" s="21"/>
      <c r="B142" s="22"/>
      <c r="C142" s="29" t="str">
        <f>IF(G142="","",IFERROR(VLOOKUP(G142,Kategorien!$A$2:$E$23,2,FALSE),"Kategorie prüfen"))</f>
        <v/>
      </c>
      <c r="D142" s="22"/>
      <c r="E142" s="22"/>
      <c r="F142" s="22"/>
      <c r="G142" s="22"/>
      <c r="H142" s="22"/>
      <c r="I142" s="26"/>
      <c r="J142" s="33" t="str">
        <f>IF(G142="","",IFERROR(VLOOKUP(G142,Kategorien!$A$2:$E$23,3,FALSE),0))</f>
        <v/>
      </c>
      <c r="K142" s="34" t="str">
        <f t="shared" si="40"/>
        <v/>
      </c>
      <c r="L142" s="34" t="str">
        <f t="shared" si="41"/>
        <v/>
      </c>
      <c r="M142" s="33" t="str">
        <f>IF(G142="","",IFERROR(VLOOKUP(G142,Kategorien!$A$2:$E$23,4,FALSE),1))</f>
        <v/>
      </c>
      <c r="N142" s="34" t="str">
        <f t="shared" si="42"/>
        <v/>
      </c>
      <c r="O142" s="34">
        <f t="shared" si="43"/>
        <v>0</v>
      </c>
      <c r="P142" s="29" t="str">
        <f t="shared" si="44"/>
        <v/>
      </c>
      <c r="Q142" s="29" t="str">
        <f t="shared" si="45"/>
        <v/>
      </c>
      <c r="R142" s="29" t="str">
        <f t="shared" si="46"/>
        <v/>
      </c>
      <c r="S142" s="34">
        <f t="shared" si="47"/>
        <v>0</v>
      </c>
      <c r="T142" s="34">
        <f t="shared" si="48"/>
        <v>0</v>
      </c>
      <c r="U142" s="38" t="str">
        <f t="shared" si="49"/>
        <v/>
      </c>
      <c r="V142" s="49" t="str">
        <f>IF(G142="","",IFERROR(VLOOKUP(G142,Kategorien!$A$2:$E$23,5,FALSE),""))</f>
        <v/>
      </c>
    </row>
    <row r="143" spans="1:22" x14ac:dyDescent="0.25">
      <c r="A143" s="21"/>
      <c r="B143" s="22"/>
      <c r="C143" s="29" t="str">
        <f>IF(G143="","",IFERROR(VLOOKUP(G143,Kategorien!$A$2:$E$23,2,FALSE),"Kategorie prüfen"))</f>
        <v/>
      </c>
      <c r="D143" s="22"/>
      <c r="E143" s="22"/>
      <c r="F143" s="22"/>
      <c r="G143" s="22"/>
      <c r="H143" s="22"/>
      <c r="I143" s="26"/>
      <c r="J143" s="33" t="str">
        <f>IF(G143="","",IFERROR(VLOOKUP(G143,Kategorien!$A$2:$E$23,3,FALSE),0))</f>
        <v/>
      </c>
      <c r="K143" s="34" t="str">
        <f t="shared" si="40"/>
        <v/>
      </c>
      <c r="L143" s="34" t="str">
        <f t="shared" si="41"/>
        <v/>
      </c>
      <c r="M143" s="33" t="str">
        <f>IF(G143="","",IFERROR(VLOOKUP(G143,Kategorien!$A$2:$E$23,4,FALSE),1))</f>
        <v/>
      </c>
      <c r="N143" s="34" t="str">
        <f t="shared" si="42"/>
        <v/>
      </c>
      <c r="O143" s="34">
        <f t="shared" si="43"/>
        <v>0</v>
      </c>
      <c r="P143" s="29" t="str">
        <f t="shared" si="44"/>
        <v/>
      </c>
      <c r="Q143" s="29" t="str">
        <f t="shared" si="45"/>
        <v/>
      </c>
      <c r="R143" s="29" t="str">
        <f t="shared" si="46"/>
        <v/>
      </c>
      <c r="S143" s="34">
        <f t="shared" si="47"/>
        <v>0</v>
      </c>
      <c r="T143" s="34">
        <f t="shared" si="48"/>
        <v>0</v>
      </c>
      <c r="U143" s="38" t="str">
        <f t="shared" si="49"/>
        <v/>
      </c>
      <c r="V143" s="49" t="str">
        <f>IF(G143="","",IFERROR(VLOOKUP(G143,Kategorien!$A$2:$E$23,5,FALSE),""))</f>
        <v/>
      </c>
    </row>
    <row r="144" spans="1:22" x14ac:dyDescent="0.25">
      <c r="A144" s="21"/>
      <c r="B144" s="22"/>
      <c r="C144" s="29" t="str">
        <f>IF(G144="","",IFERROR(VLOOKUP(G144,Kategorien!$A$2:$E$23,2,FALSE),"Kategorie prüfen"))</f>
        <v/>
      </c>
      <c r="D144" s="22"/>
      <c r="E144" s="22"/>
      <c r="F144" s="22"/>
      <c r="G144" s="22"/>
      <c r="H144" s="22"/>
      <c r="I144" s="26"/>
      <c r="J144" s="33" t="str">
        <f>IF(G144="","",IFERROR(VLOOKUP(G144,Kategorien!$A$2:$E$23,3,FALSE),0))</f>
        <v/>
      </c>
      <c r="K144" s="34" t="str">
        <f t="shared" si="40"/>
        <v/>
      </c>
      <c r="L144" s="34" t="str">
        <f t="shared" si="41"/>
        <v/>
      </c>
      <c r="M144" s="33" t="str">
        <f>IF(G144="","",IFERROR(VLOOKUP(G144,Kategorien!$A$2:$E$23,4,FALSE),1))</f>
        <v/>
      </c>
      <c r="N144" s="34" t="str">
        <f t="shared" si="42"/>
        <v/>
      </c>
      <c r="O144" s="34">
        <f t="shared" si="43"/>
        <v>0</v>
      </c>
      <c r="P144" s="29" t="str">
        <f t="shared" si="44"/>
        <v/>
      </c>
      <c r="Q144" s="29" t="str">
        <f t="shared" si="45"/>
        <v/>
      </c>
      <c r="R144" s="29" t="str">
        <f t="shared" si="46"/>
        <v/>
      </c>
      <c r="S144" s="34">
        <f t="shared" si="47"/>
        <v>0</v>
      </c>
      <c r="T144" s="34">
        <f t="shared" si="48"/>
        <v>0</v>
      </c>
      <c r="U144" s="38" t="str">
        <f t="shared" si="49"/>
        <v/>
      </c>
      <c r="V144" s="49" t="str">
        <f>IF(G144="","",IFERROR(VLOOKUP(G144,Kategorien!$A$2:$E$23,5,FALSE),""))</f>
        <v/>
      </c>
    </row>
    <row r="145" spans="1:22" x14ac:dyDescent="0.25">
      <c r="A145" s="21"/>
      <c r="B145" s="22"/>
      <c r="C145" s="29" t="str">
        <f>IF(G145="","",IFERROR(VLOOKUP(G145,Kategorien!$A$2:$E$23,2,FALSE),"Kategorie prüfen"))</f>
        <v/>
      </c>
      <c r="D145" s="22"/>
      <c r="E145" s="22"/>
      <c r="F145" s="22"/>
      <c r="G145" s="22"/>
      <c r="H145" s="22"/>
      <c r="I145" s="26"/>
      <c r="J145" s="33" t="str">
        <f>IF(G145="","",IFERROR(VLOOKUP(G145,Kategorien!$A$2:$E$23,3,FALSE),0))</f>
        <v/>
      </c>
      <c r="K145" s="34" t="str">
        <f t="shared" si="40"/>
        <v/>
      </c>
      <c r="L145" s="34" t="str">
        <f t="shared" si="41"/>
        <v/>
      </c>
      <c r="M145" s="33" t="str">
        <f>IF(G145="","",IFERROR(VLOOKUP(G145,Kategorien!$A$2:$E$23,4,FALSE),1))</f>
        <v/>
      </c>
      <c r="N145" s="34" t="str">
        <f t="shared" si="42"/>
        <v/>
      </c>
      <c r="O145" s="34">
        <f t="shared" si="43"/>
        <v>0</v>
      </c>
      <c r="P145" s="29" t="str">
        <f t="shared" si="44"/>
        <v/>
      </c>
      <c r="Q145" s="29" t="str">
        <f t="shared" si="45"/>
        <v/>
      </c>
      <c r="R145" s="29" t="str">
        <f t="shared" si="46"/>
        <v/>
      </c>
      <c r="S145" s="34">
        <f t="shared" si="47"/>
        <v>0</v>
      </c>
      <c r="T145" s="34">
        <f t="shared" si="48"/>
        <v>0</v>
      </c>
      <c r="U145" s="38" t="str">
        <f t="shared" si="49"/>
        <v/>
      </c>
      <c r="V145" s="49" t="str">
        <f>IF(G145="","",IFERROR(VLOOKUP(G145,Kategorien!$A$2:$E$23,5,FALSE),""))</f>
        <v/>
      </c>
    </row>
    <row r="146" spans="1:22" x14ac:dyDescent="0.25">
      <c r="A146" s="21"/>
      <c r="B146" s="22"/>
      <c r="C146" s="29" t="str">
        <f>IF(G146="","",IFERROR(VLOOKUP(G146,Kategorien!$A$2:$E$23,2,FALSE),"Kategorie prüfen"))</f>
        <v/>
      </c>
      <c r="D146" s="22"/>
      <c r="E146" s="22"/>
      <c r="F146" s="22"/>
      <c r="G146" s="22"/>
      <c r="H146" s="22"/>
      <c r="I146" s="26"/>
      <c r="J146" s="33" t="str">
        <f>IF(G146="","",IFERROR(VLOOKUP(G146,Kategorien!$A$2:$E$23,3,FALSE),0))</f>
        <v/>
      </c>
      <c r="K146" s="34" t="str">
        <f t="shared" si="40"/>
        <v/>
      </c>
      <c r="L146" s="34" t="str">
        <f t="shared" si="41"/>
        <v/>
      </c>
      <c r="M146" s="33" t="str">
        <f>IF(G146="","",IFERROR(VLOOKUP(G146,Kategorien!$A$2:$E$23,4,FALSE),1))</f>
        <v/>
      </c>
      <c r="N146" s="34" t="str">
        <f t="shared" si="42"/>
        <v/>
      </c>
      <c r="O146" s="34">
        <f t="shared" si="43"/>
        <v>0</v>
      </c>
      <c r="P146" s="29" t="str">
        <f t="shared" si="44"/>
        <v/>
      </c>
      <c r="Q146" s="29" t="str">
        <f t="shared" si="45"/>
        <v/>
      </c>
      <c r="R146" s="29" t="str">
        <f t="shared" si="46"/>
        <v/>
      </c>
      <c r="S146" s="34">
        <f t="shared" si="47"/>
        <v>0</v>
      </c>
      <c r="T146" s="34">
        <f t="shared" si="48"/>
        <v>0</v>
      </c>
      <c r="U146" s="38" t="str">
        <f t="shared" si="49"/>
        <v/>
      </c>
      <c r="V146" s="49" t="str">
        <f>IF(G146="","",IFERROR(VLOOKUP(G146,Kategorien!$A$2:$E$23,5,FALSE),""))</f>
        <v/>
      </c>
    </row>
    <row r="147" spans="1:22" x14ac:dyDescent="0.25">
      <c r="A147" s="21"/>
      <c r="B147" s="22"/>
      <c r="C147" s="29" t="str">
        <f>IF(G147="","",IFERROR(VLOOKUP(G147,Kategorien!$A$2:$E$23,2,FALSE),"Kategorie prüfen"))</f>
        <v/>
      </c>
      <c r="D147" s="22"/>
      <c r="E147" s="22"/>
      <c r="F147" s="22"/>
      <c r="G147" s="22"/>
      <c r="H147" s="22"/>
      <c r="I147" s="26"/>
      <c r="J147" s="33" t="str">
        <f>IF(G147="","",IFERROR(VLOOKUP(G147,Kategorien!$A$2:$E$23,3,FALSE),0))</f>
        <v/>
      </c>
      <c r="K147" s="34" t="str">
        <f t="shared" si="40"/>
        <v/>
      </c>
      <c r="L147" s="34" t="str">
        <f t="shared" si="41"/>
        <v/>
      </c>
      <c r="M147" s="33" t="str">
        <f>IF(G147="","",IFERROR(VLOOKUP(G147,Kategorien!$A$2:$E$23,4,FALSE),1))</f>
        <v/>
      </c>
      <c r="N147" s="34" t="str">
        <f t="shared" si="42"/>
        <v/>
      </c>
      <c r="O147" s="34">
        <f t="shared" si="43"/>
        <v>0</v>
      </c>
      <c r="P147" s="29" t="str">
        <f t="shared" si="44"/>
        <v/>
      </c>
      <c r="Q147" s="29" t="str">
        <f t="shared" si="45"/>
        <v/>
      </c>
      <c r="R147" s="29" t="str">
        <f t="shared" si="46"/>
        <v/>
      </c>
      <c r="S147" s="34">
        <f t="shared" si="47"/>
        <v>0</v>
      </c>
      <c r="T147" s="34">
        <f t="shared" si="48"/>
        <v>0</v>
      </c>
      <c r="U147" s="38" t="str">
        <f t="shared" si="49"/>
        <v/>
      </c>
      <c r="V147" s="49" t="str">
        <f>IF(G147="","",IFERROR(VLOOKUP(G147,Kategorien!$A$2:$E$23,5,FALSE),""))</f>
        <v/>
      </c>
    </row>
    <row r="148" spans="1:22" x14ac:dyDescent="0.25">
      <c r="A148" s="21"/>
      <c r="B148" s="22"/>
      <c r="C148" s="29" t="str">
        <f>IF(G148="","",IFERROR(VLOOKUP(G148,Kategorien!$A$2:$E$23,2,FALSE),"Kategorie prüfen"))</f>
        <v/>
      </c>
      <c r="D148" s="22"/>
      <c r="E148" s="22"/>
      <c r="F148" s="22"/>
      <c r="G148" s="22"/>
      <c r="H148" s="22"/>
      <c r="I148" s="26"/>
      <c r="J148" s="33" t="str">
        <f>IF(G148="","",IFERROR(VLOOKUP(G148,Kategorien!$A$2:$E$23,3,FALSE),0))</f>
        <v/>
      </c>
      <c r="K148" s="34" t="str">
        <f t="shared" si="40"/>
        <v/>
      </c>
      <c r="L148" s="34" t="str">
        <f t="shared" si="41"/>
        <v/>
      </c>
      <c r="M148" s="33" t="str">
        <f>IF(G148="","",IFERROR(VLOOKUP(G148,Kategorien!$A$2:$E$23,4,FALSE),1))</f>
        <v/>
      </c>
      <c r="N148" s="34" t="str">
        <f t="shared" si="42"/>
        <v/>
      </c>
      <c r="O148" s="34">
        <f t="shared" si="43"/>
        <v>0</v>
      </c>
      <c r="P148" s="29" t="str">
        <f t="shared" si="44"/>
        <v/>
      </c>
      <c r="Q148" s="29" t="str">
        <f t="shared" si="45"/>
        <v/>
      </c>
      <c r="R148" s="29" t="str">
        <f t="shared" si="46"/>
        <v/>
      </c>
      <c r="S148" s="34">
        <f t="shared" si="47"/>
        <v>0</v>
      </c>
      <c r="T148" s="34">
        <f t="shared" si="48"/>
        <v>0</v>
      </c>
      <c r="U148" s="38" t="str">
        <f t="shared" si="49"/>
        <v/>
      </c>
      <c r="V148" s="49" t="str">
        <f>IF(G148="","",IFERROR(VLOOKUP(G148,Kategorien!$A$2:$E$23,5,FALSE),""))</f>
        <v/>
      </c>
    </row>
    <row r="149" spans="1:22" x14ac:dyDescent="0.25">
      <c r="A149" s="21"/>
      <c r="B149" s="22"/>
      <c r="C149" s="29" t="str">
        <f>IF(G149="","",IFERROR(VLOOKUP(G149,Kategorien!$A$2:$E$23,2,FALSE),"Kategorie prüfen"))</f>
        <v/>
      </c>
      <c r="D149" s="22"/>
      <c r="E149" s="22"/>
      <c r="F149" s="22"/>
      <c r="G149" s="22"/>
      <c r="H149" s="22"/>
      <c r="I149" s="26"/>
      <c r="J149" s="33" t="str">
        <f>IF(G149="","",IFERROR(VLOOKUP(G149,Kategorien!$A$2:$E$23,3,FALSE),0))</f>
        <v/>
      </c>
      <c r="K149" s="34" t="str">
        <f t="shared" si="40"/>
        <v/>
      </c>
      <c r="L149" s="34" t="str">
        <f t="shared" si="41"/>
        <v/>
      </c>
      <c r="M149" s="33" t="str">
        <f>IF(G149="","",IFERROR(VLOOKUP(G149,Kategorien!$A$2:$E$23,4,FALSE),1))</f>
        <v/>
      </c>
      <c r="N149" s="34" t="str">
        <f t="shared" si="42"/>
        <v/>
      </c>
      <c r="O149" s="34">
        <f t="shared" si="43"/>
        <v>0</v>
      </c>
      <c r="P149" s="29" t="str">
        <f t="shared" si="44"/>
        <v/>
      </c>
      <c r="Q149" s="29" t="str">
        <f t="shared" si="45"/>
        <v/>
      </c>
      <c r="R149" s="29" t="str">
        <f t="shared" si="46"/>
        <v/>
      </c>
      <c r="S149" s="34">
        <f t="shared" si="47"/>
        <v>0</v>
      </c>
      <c r="T149" s="34">
        <f t="shared" si="48"/>
        <v>0</v>
      </c>
      <c r="U149" s="38" t="str">
        <f t="shared" si="49"/>
        <v/>
      </c>
      <c r="V149" s="49" t="str">
        <f>IF(G149="","",IFERROR(VLOOKUP(G149,Kategorien!$A$2:$E$23,5,FALSE),""))</f>
        <v/>
      </c>
    </row>
    <row r="150" spans="1:22" x14ac:dyDescent="0.25">
      <c r="A150" s="21"/>
      <c r="B150" s="22"/>
      <c r="C150" s="29" t="str">
        <f>IF(G150="","",IFERROR(VLOOKUP(G150,Kategorien!$A$2:$E$23,2,FALSE),"Kategorie prüfen"))</f>
        <v/>
      </c>
      <c r="D150" s="22"/>
      <c r="E150" s="22"/>
      <c r="F150" s="22"/>
      <c r="G150" s="22"/>
      <c r="H150" s="22"/>
      <c r="I150" s="26"/>
      <c r="J150" s="33" t="str">
        <f>IF(G150="","",IFERROR(VLOOKUP(G150,Kategorien!$A$2:$E$23,3,FALSE),0))</f>
        <v/>
      </c>
      <c r="K150" s="34" t="str">
        <f t="shared" si="40"/>
        <v/>
      </c>
      <c r="L150" s="34" t="str">
        <f t="shared" si="41"/>
        <v/>
      </c>
      <c r="M150" s="33" t="str">
        <f>IF(G150="","",IFERROR(VLOOKUP(G150,Kategorien!$A$2:$E$23,4,FALSE),1))</f>
        <v/>
      </c>
      <c r="N150" s="34" t="str">
        <f t="shared" si="42"/>
        <v/>
      </c>
      <c r="O150" s="34">
        <f t="shared" si="43"/>
        <v>0</v>
      </c>
      <c r="P150" s="29" t="str">
        <f t="shared" si="44"/>
        <v/>
      </c>
      <c r="Q150" s="29" t="str">
        <f t="shared" si="45"/>
        <v/>
      </c>
      <c r="R150" s="29" t="str">
        <f t="shared" si="46"/>
        <v/>
      </c>
      <c r="S150" s="34">
        <f t="shared" si="47"/>
        <v>0</v>
      </c>
      <c r="T150" s="34">
        <f t="shared" si="48"/>
        <v>0</v>
      </c>
      <c r="U150" s="38" t="str">
        <f t="shared" si="49"/>
        <v/>
      </c>
      <c r="V150" s="49" t="str">
        <f>IF(G150="","",IFERROR(VLOOKUP(G150,Kategorien!$A$2:$E$23,5,FALSE),""))</f>
        <v/>
      </c>
    </row>
    <row r="151" spans="1:22" x14ac:dyDescent="0.25">
      <c r="A151" s="23"/>
      <c r="B151" s="24"/>
      <c r="C151" s="30" t="str">
        <f>IF(G151="","",IFERROR(VLOOKUP(G151,Kategorien!$A$2:$E$23,2,FALSE),"Kategorie prüfen"))</f>
        <v/>
      </c>
      <c r="D151" s="24"/>
      <c r="E151" s="24"/>
      <c r="F151" s="24"/>
      <c r="G151" s="24"/>
      <c r="H151" s="24"/>
      <c r="I151" s="27"/>
      <c r="J151" s="35" t="str">
        <f>IF(G151="","",IFERROR(VLOOKUP(G151,Kategorien!$A$2:$E$23,3,FALSE),0))</f>
        <v/>
      </c>
      <c r="K151" s="36" t="str">
        <f t="shared" si="40"/>
        <v/>
      </c>
      <c r="L151" s="36" t="str">
        <f t="shared" si="41"/>
        <v/>
      </c>
      <c r="M151" s="35" t="str">
        <f>IF(G151="","",IFERROR(VLOOKUP(G151,Kategorien!$A$2:$E$23,4,FALSE),1))</f>
        <v/>
      </c>
      <c r="N151" s="36" t="str">
        <f t="shared" si="42"/>
        <v/>
      </c>
      <c r="O151" s="36">
        <f t="shared" si="43"/>
        <v>0</v>
      </c>
      <c r="P151" s="30" t="str">
        <f t="shared" si="44"/>
        <v/>
      </c>
      <c r="Q151" s="30" t="str">
        <f t="shared" si="45"/>
        <v/>
      </c>
      <c r="R151" s="30" t="str">
        <f t="shared" si="46"/>
        <v/>
      </c>
      <c r="S151" s="36">
        <f t="shared" si="47"/>
        <v>0</v>
      </c>
      <c r="T151" s="36">
        <f t="shared" si="48"/>
        <v>0</v>
      </c>
      <c r="U151" s="39" t="str">
        <f t="shared" si="49"/>
        <v/>
      </c>
      <c r="V151" s="50" t="str">
        <f>IF(G151="","",IFERROR(VLOOKUP(G151,Kategorien!$A$2:$E$23,5,FALSE),""))</f>
        <v/>
      </c>
    </row>
  </sheetData>
  <conditionalFormatting sqref="D2:D151">
    <cfRule type="expression" dxfId="2" priority="2">
      <formula>D2="Offen"</formula>
    </cfRule>
  </conditionalFormatting>
  <conditionalFormatting sqref="N2:N151">
    <cfRule type="cellIs" dxfId="1" priority="3" operator="lessThan">
      <formula>0</formula>
    </cfRule>
  </conditionalFormatting>
  <conditionalFormatting sqref="U2:U151">
    <cfRule type="expression" dxfId="0" priority="1">
      <formula>U2&lt;&gt;""</formula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xr:uid="{00000000-0002-0000-0100-000000000000}">
          <x14:formula1>
            <xm:f>Kategorien!$H$2:$H$3</xm:f>
          </x14:formula1>
          <xm:sqref>D2:D151</xm:sqref>
        </x14:dataValidation>
        <x14:dataValidation type="list" xr:uid="{00000000-0002-0000-0100-000001000000}">
          <x14:formula1>
            <xm:f>Kategorien!$A$2:$A$23</xm:f>
          </x14:formula1>
          <xm:sqref>G2:G151</xm:sqref>
        </x14:dataValidation>
        <x14:dataValidation type="list" xr:uid="{00000000-0002-0000-0100-000002000000}">
          <x14:formula1>
            <xm:f>Kategorien!$I$2:$I$6</xm:f>
          </x14:formula1>
          <xm:sqref>H2:H151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8"/>
  <sheetViews>
    <sheetView workbookViewId="0"/>
  </sheetViews>
  <sheetFormatPr baseColWidth="10" defaultColWidth="9" defaultRowHeight="15" x14ac:dyDescent="0.25"/>
  <cols>
    <col min="1" max="1" width="28" customWidth="1"/>
    <col min="2" max="8" width="15" customWidth="1"/>
    <col min="10" max="10" width="12" customWidth="1"/>
    <col min="11" max="16" width="15" customWidth="1"/>
  </cols>
  <sheetData>
    <row r="1" spans="1:16" ht="21" x14ac:dyDescent="0.35">
      <c r="A1" s="52" t="s">
        <v>172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3" spans="1:16" x14ac:dyDescent="0.25">
      <c r="A3" s="40" t="s">
        <v>3</v>
      </c>
      <c r="B3" s="40">
        <f>Übersicht!B4</f>
        <v>2026</v>
      </c>
    </row>
    <row r="5" spans="1:16" x14ac:dyDescent="0.25">
      <c r="A5" s="1" t="s">
        <v>29</v>
      </c>
      <c r="B5" s="1" t="s">
        <v>28</v>
      </c>
      <c r="C5" s="1" t="s">
        <v>30</v>
      </c>
      <c r="D5" s="1" t="s">
        <v>31</v>
      </c>
      <c r="E5" s="1" t="s">
        <v>69</v>
      </c>
      <c r="F5" s="1" t="s">
        <v>173</v>
      </c>
      <c r="G5" s="1" t="s">
        <v>32</v>
      </c>
      <c r="H5" s="1" t="s">
        <v>66</v>
      </c>
      <c r="J5" s="1" t="s">
        <v>67</v>
      </c>
      <c r="K5" s="1" t="s">
        <v>28</v>
      </c>
      <c r="L5" s="1" t="s">
        <v>30</v>
      </c>
      <c r="M5" s="1" t="s">
        <v>31</v>
      </c>
      <c r="N5" s="1" t="s">
        <v>69</v>
      </c>
      <c r="O5" s="1" t="s">
        <v>173</v>
      </c>
      <c r="P5" s="1" t="s">
        <v>32</v>
      </c>
    </row>
    <row r="6" spans="1:16" x14ac:dyDescent="0.25">
      <c r="A6" t="s">
        <v>174</v>
      </c>
      <c r="B6" s="15">
        <f>SUMIFS(Buchungen!$K$2:$K$151,Buchungen!$C$2:$C$151,"Einnahme",Buchungen!$D$2:$D$151,"Bezahlt",Buchungen!$R$2:$R$151,$B$3,Buchungen!$P$2:$P$151,1)</f>
        <v>3000</v>
      </c>
      <c r="C6" s="15">
        <f>SUMIFS(Buchungen!$K$2:$K$151,Buchungen!$C$2:$C$151,"Ausgabe",Buchungen!$D$2:$D$151,"Bezahlt",Buchungen!$R$2:$R$151,$B$3,Buchungen!$P$2:$P$151,1)</f>
        <v>85</v>
      </c>
      <c r="D6" s="15">
        <f t="shared" ref="D6:D17" si="0">B6-C6</f>
        <v>2915</v>
      </c>
      <c r="E6" s="15">
        <f>SUMIFS(Buchungen!$S$2:$S$151,Buchungen!$R$2:$R$151,$B$3,Buchungen!$P$2:$P$151,1)</f>
        <v>570</v>
      </c>
      <c r="F6" s="15">
        <f>SUMIFS(Buchungen!$T$2:$T$151,Buchungen!$R$2:$R$151,$B$3,Buchungen!$P$2:$P$151,1)</f>
        <v>16.149999999999999</v>
      </c>
      <c r="G6" s="15">
        <f t="shared" ref="G6:G17" si="1">E6-F6</f>
        <v>553.85</v>
      </c>
      <c r="H6" s="15">
        <f>SUMIFS(Buchungen!$O$2:$O$151,Buchungen!$D$2:$D$151,"Bezahlt",Buchungen!$R$2:$R$151,$B$3,Buchungen!$P$2:$P$151,1)</f>
        <v>3468.85</v>
      </c>
      <c r="J6" t="s">
        <v>175</v>
      </c>
      <c r="K6" s="15">
        <f>SUMIFS(Buchungen!$K$2:$K$151,Buchungen!$C$2:$C$151,"Einnahme",Buchungen!$D$2:$D$151,"Bezahlt",Buchungen!$R$2:$R$151,$B$3,Buchungen!$Q$2:$Q$151,J6)</f>
        <v>5800</v>
      </c>
      <c r="L6" s="15">
        <f>SUMIFS(Buchungen!$K$2:$K$151,Buchungen!$C$2:$C$151,"Ausgabe",Buchungen!$D$2:$D$151,"Bezahlt",Buchungen!$R$2:$R$151,$B$3,Buchungen!$Q$2:$Q$151,J6)</f>
        <v>601.02</v>
      </c>
      <c r="M6" s="15">
        <f>K6-L6</f>
        <v>5198.9799999999996</v>
      </c>
      <c r="N6" s="15">
        <f>SUMIFS(Buchungen!$S$2:$S$151,Buchungen!$R$2:$R$151,$B$3,Buchungen!$Q$2:$Q$151,J6)</f>
        <v>1102</v>
      </c>
      <c r="O6" s="15">
        <f>SUMIFS(Buchungen!$T$2:$T$151,Buchungen!$R$2:$R$151,$B$3,Buchungen!$Q$2:$Q$151,J6)</f>
        <v>93.61</v>
      </c>
      <c r="P6" s="15">
        <f>N6-O6</f>
        <v>1008.39</v>
      </c>
    </row>
    <row r="7" spans="1:16" x14ac:dyDescent="0.25">
      <c r="A7" t="s">
        <v>176</v>
      </c>
      <c r="B7" s="15">
        <f>SUMIFS(Buchungen!$K$2:$K$151,Buchungen!$C$2:$C$151,"Einnahme",Buchungen!$D$2:$D$151,"Bezahlt",Buchungen!$R$2:$R$151,$B$3,Buchungen!$P$2:$P$151,2)</f>
        <v>800</v>
      </c>
      <c r="C7" s="15">
        <f>SUMIFS(Buchungen!$K$2:$K$151,Buchungen!$C$2:$C$151,"Ausgabe",Buchungen!$D$2:$D$151,"Bezahlt",Buchungen!$R$2:$R$151,$B$3,Buchungen!$P$2:$P$151,2)</f>
        <v>226.01999999999998</v>
      </c>
      <c r="D7" s="15">
        <f t="shared" si="0"/>
        <v>573.98</v>
      </c>
      <c r="E7" s="15">
        <f>SUMIFS(Buchungen!$S$2:$S$151,Buchungen!$R$2:$R$151,$B$3,Buchungen!$P$2:$P$151,2)</f>
        <v>152</v>
      </c>
      <c r="F7" s="15">
        <f>SUMIFS(Buchungen!$T$2:$T$151,Buchungen!$R$2:$R$151,$B$3,Buchungen!$P$2:$P$151,2)</f>
        <v>27.159999999999997</v>
      </c>
      <c r="G7" s="15">
        <f t="shared" si="1"/>
        <v>124.84</v>
      </c>
      <c r="H7" s="15">
        <f>SUMIFS(Buchungen!$O$2:$O$151,Buchungen!$D$2:$D$151,"Bezahlt",Buchungen!$R$2:$R$151,$B$3,Buchungen!$P$2:$P$151,2)</f>
        <v>693.12</v>
      </c>
      <c r="J7" t="s">
        <v>177</v>
      </c>
      <c r="K7" s="15">
        <f>SUMIFS(Buchungen!$K$2:$K$151,Buchungen!$C$2:$C$151,"Einnahme",Buchungen!$D$2:$D$151,"Bezahlt",Buchungen!$R$2:$R$151,$B$3,Buchungen!$Q$2:$Q$151,J7)</f>
        <v>3800</v>
      </c>
      <c r="L7" s="15">
        <f>SUMIFS(Buchungen!$K$2:$K$151,Buchungen!$C$2:$C$151,"Ausgabe",Buchungen!$D$2:$D$151,"Bezahlt",Buchungen!$R$2:$R$151,$B$3,Buchungen!$Q$2:$Q$151,J7)</f>
        <v>1087.24</v>
      </c>
      <c r="M7" s="15">
        <f>K7-L7</f>
        <v>2712.76</v>
      </c>
      <c r="N7" s="15">
        <f>SUMIFS(Buchungen!$S$2:$S$151,Buchungen!$R$2:$R$151,$B$3,Buchungen!$Q$2:$Q$151,J7)</f>
        <v>608</v>
      </c>
      <c r="O7" s="15">
        <f>SUMIFS(Buchungen!$T$2:$T$151,Buchungen!$R$2:$R$151,$B$3,Buchungen!$Q$2:$Q$151,J7)</f>
        <v>184.96</v>
      </c>
      <c r="P7" s="15">
        <f>N7-O7</f>
        <v>423.03999999999996</v>
      </c>
    </row>
    <row r="8" spans="1:16" x14ac:dyDescent="0.25">
      <c r="A8" t="s">
        <v>178</v>
      </c>
      <c r="B8" s="15">
        <f>SUMIFS(Buchungen!$K$2:$K$151,Buchungen!$C$2:$C$151,"Einnahme",Buchungen!$D$2:$D$151,"Bezahlt",Buchungen!$R$2:$R$151,$B$3,Buchungen!$P$2:$P$151,3)</f>
        <v>2000</v>
      </c>
      <c r="C8" s="15">
        <f>SUMIFS(Buchungen!$K$2:$K$151,Buchungen!$C$2:$C$151,"Ausgabe",Buchungen!$D$2:$D$151,"Bezahlt",Buchungen!$R$2:$R$151,$B$3,Buchungen!$P$2:$P$151,3)</f>
        <v>290</v>
      </c>
      <c r="D8" s="15">
        <f t="shared" si="0"/>
        <v>1710</v>
      </c>
      <c r="E8" s="15">
        <f>SUMIFS(Buchungen!$S$2:$S$151,Buchungen!$R$2:$R$151,$B$3,Buchungen!$P$2:$P$151,3)</f>
        <v>380</v>
      </c>
      <c r="F8" s="15">
        <f>SUMIFS(Buchungen!$T$2:$T$151,Buchungen!$R$2:$R$151,$B$3,Buchungen!$P$2:$P$151,3)</f>
        <v>50.3</v>
      </c>
      <c r="G8" s="15">
        <f t="shared" si="1"/>
        <v>329.7</v>
      </c>
      <c r="H8" s="15">
        <f>SUMIFS(Buchungen!$O$2:$O$151,Buchungen!$D$2:$D$151,"Bezahlt",Buchungen!$R$2:$R$151,$B$3,Buchungen!$P$2:$P$151,3)</f>
        <v>1334.7</v>
      </c>
      <c r="J8" t="s">
        <v>179</v>
      </c>
      <c r="K8" s="15">
        <f>SUMIFS(Buchungen!$K$2:$K$151,Buchungen!$C$2:$C$151,"Einnahme",Buchungen!$D$2:$D$151,"Bezahlt",Buchungen!$R$2:$R$151,$B$3,Buchungen!$Q$2:$Q$151,J8)</f>
        <v>3500</v>
      </c>
      <c r="L8" s="15">
        <f>SUMIFS(Buchungen!$K$2:$K$151,Buchungen!$C$2:$C$151,"Ausgabe",Buchungen!$D$2:$D$151,"Bezahlt",Buchungen!$R$2:$R$151,$B$3,Buchungen!$Q$2:$Q$151,J8)</f>
        <v>9.9</v>
      </c>
      <c r="M8" s="15">
        <f>K8-L8</f>
        <v>3490.1</v>
      </c>
      <c r="N8" s="15">
        <f>SUMIFS(Buchungen!$S$2:$S$151,Buchungen!$R$2:$R$151,$B$3,Buchungen!$Q$2:$Q$151,J8)</f>
        <v>665</v>
      </c>
      <c r="O8" s="15">
        <f>SUMIFS(Buchungen!$T$2:$T$151,Buchungen!$R$2:$R$151,$B$3,Buchungen!$Q$2:$Q$151,J8)</f>
        <v>0</v>
      </c>
      <c r="P8" s="15">
        <f>N8-O8</f>
        <v>665</v>
      </c>
    </row>
    <row r="9" spans="1:16" x14ac:dyDescent="0.25">
      <c r="A9" t="s">
        <v>180</v>
      </c>
      <c r="B9" s="15">
        <f>SUMIFS(Buchungen!$K$2:$K$151,Buchungen!$C$2:$C$151,"Einnahme",Buchungen!$D$2:$D$151,"Bezahlt",Buchungen!$R$2:$R$151,$B$3,Buchungen!$P$2:$P$151,4)</f>
        <v>2600</v>
      </c>
      <c r="C9" s="15">
        <f>SUMIFS(Buchungen!$K$2:$K$151,Buchungen!$C$2:$C$151,"Ausgabe",Buchungen!$D$2:$D$151,"Bezahlt",Buchungen!$R$2:$R$151,$B$3,Buchungen!$P$2:$P$151,4)</f>
        <v>488</v>
      </c>
      <c r="D9" s="15">
        <f t="shared" si="0"/>
        <v>2112</v>
      </c>
      <c r="E9" s="15">
        <f>SUMIFS(Buchungen!$S$2:$S$151,Buchungen!$R$2:$R$151,$B$3,Buchungen!$P$2:$P$151,4)</f>
        <v>494</v>
      </c>
      <c r="F9" s="15">
        <f>SUMIFS(Buchungen!$T$2:$T$151,Buchungen!$R$2:$R$151,$B$3,Buchungen!$P$2:$P$151,4)</f>
        <v>85.5</v>
      </c>
      <c r="G9" s="15">
        <f t="shared" si="1"/>
        <v>408.5</v>
      </c>
      <c r="H9" s="15">
        <f>SUMIFS(Buchungen!$O$2:$O$151,Buchungen!$D$2:$D$151,"Bezahlt",Buchungen!$R$2:$R$151,$B$3,Buchungen!$P$2:$P$151,4)</f>
        <v>2520.5</v>
      </c>
      <c r="J9" t="s">
        <v>181</v>
      </c>
      <c r="K9" s="15">
        <f>SUMIFS(Buchungen!$K$2:$K$151,Buchungen!$C$2:$C$151,"Einnahme",Buchungen!$D$2:$D$151,"Bezahlt",Buchungen!$R$2:$R$151,$B$3,Buchungen!$Q$2:$Q$151,J9)</f>
        <v>0</v>
      </c>
      <c r="L9" s="15">
        <f>SUMIFS(Buchungen!$K$2:$K$151,Buchungen!$C$2:$C$151,"Ausgabe",Buchungen!$D$2:$D$151,"Bezahlt",Buchungen!$R$2:$R$151,$B$3,Buchungen!$Q$2:$Q$151,J9)</f>
        <v>0</v>
      </c>
      <c r="M9" s="15">
        <f>K9-L9</f>
        <v>0</v>
      </c>
      <c r="N9" s="15">
        <f>SUMIFS(Buchungen!$S$2:$S$151,Buchungen!$R$2:$R$151,$B$3,Buchungen!$Q$2:$Q$151,J9)</f>
        <v>0</v>
      </c>
      <c r="O9" s="15">
        <f>SUMIFS(Buchungen!$T$2:$T$151,Buchungen!$R$2:$R$151,$B$3,Buchungen!$Q$2:$Q$151,J9)</f>
        <v>0</v>
      </c>
      <c r="P9" s="15">
        <f>N9-O9</f>
        <v>0</v>
      </c>
    </row>
    <row r="10" spans="1:16" x14ac:dyDescent="0.25">
      <c r="A10" t="s">
        <v>40</v>
      </c>
      <c r="B10" s="15">
        <f>SUMIFS(Buchungen!$K$2:$K$151,Buchungen!$C$2:$C$151,"Einnahme",Buchungen!$D$2:$D$151,"Bezahlt",Buchungen!$R$2:$R$151,$B$3,Buchungen!$P$2:$P$151,5)</f>
        <v>600</v>
      </c>
      <c r="C10" s="15">
        <f>SUMIFS(Buchungen!$K$2:$K$151,Buchungen!$C$2:$C$151,"Ausgabe",Buchungen!$D$2:$D$151,"Bezahlt",Buchungen!$R$2:$R$151,$B$3,Buchungen!$P$2:$P$151,5)</f>
        <v>209.24</v>
      </c>
      <c r="D10" s="15">
        <f t="shared" si="0"/>
        <v>390.76</v>
      </c>
      <c r="E10" s="15">
        <f>SUMIFS(Buchungen!$S$2:$S$151,Buchungen!$R$2:$R$151,$B$3,Buchungen!$P$2:$P$151,5)</f>
        <v>0</v>
      </c>
      <c r="F10" s="15">
        <f>SUMIFS(Buchungen!$T$2:$T$151,Buchungen!$R$2:$R$151,$B$3,Buchungen!$P$2:$P$151,5)</f>
        <v>39.76</v>
      </c>
      <c r="G10" s="15">
        <f t="shared" si="1"/>
        <v>-39.76</v>
      </c>
      <c r="H10" s="15">
        <f>SUMIFS(Buchungen!$O$2:$O$151,Buchungen!$D$2:$D$151,"Bezahlt",Buchungen!$R$2:$R$151,$B$3,Buchungen!$P$2:$P$151,5)</f>
        <v>1351</v>
      </c>
      <c r="J10" s="40" t="s">
        <v>51</v>
      </c>
      <c r="K10" s="44">
        <f t="shared" ref="K10:P10" si="2">SUM(K6:K9)</f>
        <v>13100</v>
      </c>
      <c r="L10" s="44">
        <f t="shared" si="2"/>
        <v>1698.16</v>
      </c>
      <c r="M10" s="44">
        <f t="shared" si="2"/>
        <v>11401.84</v>
      </c>
      <c r="N10" s="44">
        <f t="shared" si="2"/>
        <v>2375</v>
      </c>
      <c r="O10" s="44">
        <f t="shared" si="2"/>
        <v>278.57</v>
      </c>
      <c r="P10" s="44">
        <f t="shared" si="2"/>
        <v>2096.4299999999998</v>
      </c>
    </row>
    <row r="11" spans="1:16" x14ac:dyDescent="0.25">
      <c r="A11" t="s">
        <v>182</v>
      </c>
      <c r="B11" s="15">
        <f>SUMIFS(Buchungen!$K$2:$K$151,Buchungen!$C$2:$C$151,"Einnahme",Buchungen!$D$2:$D$151,"Bezahlt",Buchungen!$R$2:$R$151,$B$3,Buchungen!$P$2:$P$151,6)</f>
        <v>600</v>
      </c>
      <c r="C11" s="15">
        <f>SUMIFS(Buchungen!$K$2:$K$151,Buchungen!$C$2:$C$151,"Ausgabe",Buchungen!$D$2:$D$151,"Bezahlt",Buchungen!$R$2:$R$151,$B$3,Buchungen!$P$2:$P$151,6)</f>
        <v>390</v>
      </c>
      <c r="D11" s="15">
        <f t="shared" si="0"/>
        <v>210</v>
      </c>
      <c r="E11" s="15">
        <f>SUMIFS(Buchungen!$S$2:$S$151,Buchungen!$R$2:$R$151,$B$3,Buchungen!$P$2:$P$151,6)</f>
        <v>114</v>
      </c>
      <c r="F11" s="15">
        <f>SUMIFS(Buchungen!$T$2:$T$151,Buchungen!$R$2:$R$151,$B$3,Buchungen!$P$2:$P$151,6)</f>
        <v>59.699999999999996</v>
      </c>
      <c r="G11" s="15">
        <f t="shared" si="1"/>
        <v>54.300000000000004</v>
      </c>
      <c r="H11" s="15">
        <f>SUMIFS(Buchungen!$O$2:$O$151,Buchungen!$D$2:$D$151,"Bezahlt",Buchungen!$R$2:$R$151,$B$3,Buchungen!$P$2:$P$151,6)</f>
        <v>-585.70000000000005</v>
      </c>
    </row>
    <row r="12" spans="1:16" x14ac:dyDescent="0.25">
      <c r="A12" t="s">
        <v>183</v>
      </c>
      <c r="B12" s="15">
        <f>SUMIFS(Buchungen!$K$2:$K$151,Buchungen!$C$2:$C$151,"Einnahme",Buchungen!$D$2:$D$151,"Bezahlt",Buchungen!$R$2:$R$151,$B$3,Buchungen!$P$2:$P$151,7)</f>
        <v>3500</v>
      </c>
      <c r="C12" s="15">
        <f>SUMIFS(Buchungen!$K$2:$K$151,Buchungen!$C$2:$C$151,"Ausgabe",Buchungen!$D$2:$D$151,"Bezahlt",Buchungen!$R$2:$R$151,$B$3,Buchungen!$P$2:$P$151,7)</f>
        <v>9.9</v>
      </c>
      <c r="D12" s="15">
        <f t="shared" si="0"/>
        <v>3490.1</v>
      </c>
      <c r="E12" s="15">
        <f>SUMIFS(Buchungen!$S$2:$S$151,Buchungen!$R$2:$R$151,$B$3,Buchungen!$P$2:$P$151,7)</f>
        <v>665</v>
      </c>
      <c r="F12" s="15">
        <f>SUMIFS(Buchungen!$T$2:$T$151,Buchungen!$R$2:$R$151,$B$3,Buchungen!$P$2:$P$151,7)</f>
        <v>0</v>
      </c>
      <c r="G12" s="15">
        <f t="shared" si="1"/>
        <v>665</v>
      </c>
      <c r="H12" s="15">
        <f>SUMIFS(Buchungen!$O$2:$O$151,Buchungen!$D$2:$D$151,"Bezahlt",Buchungen!$R$2:$R$151,$B$3,Buchungen!$P$2:$P$151,7)</f>
        <v>4155.1000000000004</v>
      </c>
    </row>
    <row r="13" spans="1:16" x14ac:dyDescent="0.25">
      <c r="A13" t="s">
        <v>184</v>
      </c>
      <c r="B13" s="15">
        <f>SUMIFS(Buchungen!$K$2:$K$151,Buchungen!$C$2:$C$151,"Einnahme",Buchungen!$D$2:$D$151,"Bezahlt",Buchungen!$R$2:$R$151,$B$3,Buchungen!$P$2:$P$151,8)</f>
        <v>0</v>
      </c>
      <c r="C13" s="15">
        <f>SUMIFS(Buchungen!$K$2:$K$151,Buchungen!$C$2:$C$151,"Ausgabe",Buchungen!$D$2:$D$151,"Bezahlt",Buchungen!$R$2:$R$151,$B$3,Buchungen!$P$2:$P$151,8)</f>
        <v>0</v>
      </c>
      <c r="D13" s="15">
        <f t="shared" si="0"/>
        <v>0</v>
      </c>
      <c r="E13" s="15">
        <f>SUMIFS(Buchungen!$S$2:$S$151,Buchungen!$R$2:$R$151,$B$3,Buchungen!$P$2:$P$151,8)</f>
        <v>0</v>
      </c>
      <c r="F13" s="15">
        <f>SUMIFS(Buchungen!$T$2:$T$151,Buchungen!$R$2:$R$151,$B$3,Buchungen!$P$2:$P$151,8)</f>
        <v>0</v>
      </c>
      <c r="G13" s="15">
        <f t="shared" si="1"/>
        <v>0</v>
      </c>
      <c r="H13" s="15">
        <f>SUMIFS(Buchungen!$O$2:$O$151,Buchungen!$D$2:$D$151,"Bezahlt",Buchungen!$R$2:$R$151,$B$3,Buchungen!$P$2:$P$151,8)</f>
        <v>0</v>
      </c>
    </row>
    <row r="14" spans="1:16" x14ac:dyDescent="0.25">
      <c r="A14" t="s">
        <v>185</v>
      </c>
      <c r="B14" s="15">
        <f>SUMIFS(Buchungen!$K$2:$K$151,Buchungen!$C$2:$C$151,"Einnahme",Buchungen!$D$2:$D$151,"Bezahlt",Buchungen!$R$2:$R$151,$B$3,Buchungen!$P$2:$P$151,9)</f>
        <v>0</v>
      </c>
      <c r="C14" s="15">
        <f>SUMIFS(Buchungen!$K$2:$K$151,Buchungen!$C$2:$C$151,"Ausgabe",Buchungen!$D$2:$D$151,"Bezahlt",Buchungen!$R$2:$R$151,$B$3,Buchungen!$P$2:$P$151,9)</f>
        <v>0</v>
      </c>
      <c r="D14" s="15">
        <f t="shared" si="0"/>
        <v>0</v>
      </c>
      <c r="E14" s="15">
        <f>SUMIFS(Buchungen!$S$2:$S$151,Buchungen!$R$2:$R$151,$B$3,Buchungen!$P$2:$P$151,9)</f>
        <v>0</v>
      </c>
      <c r="F14" s="15">
        <f>SUMIFS(Buchungen!$T$2:$T$151,Buchungen!$R$2:$R$151,$B$3,Buchungen!$P$2:$P$151,9)</f>
        <v>0</v>
      </c>
      <c r="G14" s="15">
        <f t="shared" si="1"/>
        <v>0</v>
      </c>
      <c r="H14" s="15">
        <f>SUMIFS(Buchungen!$O$2:$O$151,Buchungen!$D$2:$D$151,"Bezahlt",Buchungen!$R$2:$R$151,$B$3,Buchungen!$P$2:$P$151,9)</f>
        <v>0</v>
      </c>
    </row>
    <row r="15" spans="1:16" x14ac:dyDescent="0.25">
      <c r="A15" t="s">
        <v>186</v>
      </c>
      <c r="B15" s="15">
        <f>SUMIFS(Buchungen!$K$2:$K$151,Buchungen!$C$2:$C$151,"Einnahme",Buchungen!$D$2:$D$151,"Bezahlt",Buchungen!$R$2:$R$151,$B$3,Buchungen!$P$2:$P$151,10)</f>
        <v>0</v>
      </c>
      <c r="C15" s="15">
        <f>SUMIFS(Buchungen!$K$2:$K$151,Buchungen!$C$2:$C$151,"Ausgabe",Buchungen!$D$2:$D$151,"Bezahlt",Buchungen!$R$2:$R$151,$B$3,Buchungen!$P$2:$P$151,10)</f>
        <v>0</v>
      </c>
      <c r="D15" s="15">
        <f t="shared" si="0"/>
        <v>0</v>
      </c>
      <c r="E15" s="15">
        <f>SUMIFS(Buchungen!$S$2:$S$151,Buchungen!$R$2:$R$151,$B$3,Buchungen!$P$2:$P$151,10)</f>
        <v>0</v>
      </c>
      <c r="F15" s="15">
        <f>SUMIFS(Buchungen!$T$2:$T$151,Buchungen!$R$2:$R$151,$B$3,Buchungen!$P$2:$P$151,10)</f>
        <v>0</v>
      </c>
      <c r="G15" s="15">
        <f t="shared" si="1"/>
        <v>0</v>
      </c>
      <c r="H15" s="15">
        <f>SUMIFS(Buchungen!$O$2:$O$151,Buchungen!$D$2:$D$151,"Bezahlt",Buchungen!$R$2:$R$151,$B$3,Buchungen!$P$2:$P$151,10)</f>
        <v>0</v>
      </c>
    </row>
    <row r="16" spans="1:16" x14ac:dyDescent="0.25">
      <c r="A16" t="s">
        <v>187</v>
      </c>
      <c r="B16" s="15">
        <f>SUMIFS(Buchungen!$K$2:$K$151,Buchungen!$C$2:$C$151,"Einnahme",Buchungen!$D$2:$D$151,"Bezahlt",Buchungen!$R$2:$R$151,$B$3,Buchungen!$P$2:$P$151,11)</f>
        <v>0</v>
      </c>
      <c r="C16" s="15">
        <f>SUMIFS(Buchungen!$K$2:$K$151,Buchungen!$C$2:$C$151,"Ausgabe",Buchungen!$D$2:$D$151,"Bezahlt",Buchungen!$R$2:$R$151,$B$3,Buchungen!$P$2:$P$151,11)</f>
        <v>0</v>
      </c>
      <c r="D16" s="15">
        <f t="shared" si="0"/>
        <v>0</v>
      </c>
      <c r="E16" s="15">
        <f>SUMIFS(Buchungen!$S$2:$S$151,Buchungen!$R$2:$R$151,$B$3,Buchungen!$P$2:$P$151,11)</f>
        <v>0</v>
      </c>
      <c r="F16" s="15">
        <f>SUMIFS(Buchungen!$T$2:$T$151,Buchungen!$R$2:$R$151,$B$3,Buchungen!$P$2:$P$151,11)</f>
        <v>0</v>
      </c>
      <c r="G16" s="15">
        <f t="shared" si="1"/>
        <v>0</v>
      </c>
      <c r="H16" s="15">
        <f>SUMIFS(Buchungen!$O$2:$O$151,Buchungen!$D$2:$D$151,"Bezahlt",Buchungen!$R$2:$R$151,$B$3,Buchungen!$P$2:$P$151,11)</f>
        <v>0</v>
      </c>
    </row>
    <row r="17" spans="1:8" x14ac:dyDescent="0.25">
      <c r="A17" t="s">
        <v>188</v>
      </c>
      <c r="B17" s="15">
        <f>SUMIFS(Buchungen!$K$2:$K$151,Buchungen!$C$2:$C$151,"Einnahme",Buchungen!$D$2:$D$151,"Bezahlt",Buchungen!$R$2:$R$151,$B$3,Buchungen!$P$2:$P$151,12)</f>
        <v>0</v>
      </c>
      <c r="C17" s="15">
        <f>SUMIFS(Buchungen!$K$2:$K$151,Buchungen!$C$2:$C$151,"Ausgabe",Buchungen!$D$2:$D$151,"Bezahlt",Buchungen!$R$2:$R$151,$B$3,Buchungen!$P$2:$P$151,12)</f>
        <v>0</v>
      </c>
      <c r="D17" s="15">
        <f t="shared" si="0"/>
        <v>0</v>
      </c>
      <c r="E17" s="15">
        <f>SUMIFS(Buchungen!$S$2:$S$151,Buchungen!$R$2:$R$151,$B$3,Buchungen!$P$2:$P$151,12)</f>
        <v>0</v>
      </c>
      <c r="F17" s="15">
        <f>SUMIFS(Buchungen!$T$2:$T$151,Buchungen!$R$2:$R$151,$B$3,Buchungen!$P$2:$P$151,12)</f>
        <v>0</v>
      </c>
      <c r="G17" s="15">
        <f t="shared" si="1"/>
        <v>0</v>
      </c>
      <c r="H17" s="15">
        <f>SUMIFS(Buchungen!$O$2:$O$151,Buchungen!$D$2:$D$151,"Bezahlt",Buchungen!$R$2:$R$151,$B$3,Buchungen!$P$2:$P$151,12)</f>
        <v>0</v>
      </c>
    </row>
    <row r="18" spans="1:8" x14ac:dyDescent="0.25">
      <c r="A18" s="40" t="s">
        <v>51</v>
      </c>
      <c r="B18" s="44">
        <f t="shared" ref="B18:H18" si="3">SUM(B6:B17)</f>
        <v>13100</v>
      </c>
      <c r="C18" s="44">
        <f t="shared" si="3"/>
        <v>1698.16</v>
      </c>
      <c r="D18" s="44">
        <f t="shared" si="3"/>
        <v>11401.84</v>
      </c>
      <c r="E18" s="44">
        <f t="shared" si="3"/>
        <v>2375</v>
      </c>
      <c r="F18" s="44">
        <f t="shared" si="3"/>
        <v>278.57</v>
      </c>
      <c r="G18" s="44">
        <f t="shared" si="3"/>
        <v>2096.4300000000003</v>
      </c>
      <c r="H18" s="44">
        <f t="shared" si="3"/>
        <v>12937.57</v>
      </c>
    </row>
    <row r="22" spans="1:8" x14ac:dyDescent="0.25">
      <c r="A22" s="1" t="s">
        <v>189</v>
      </c>
      <c r="B22" s="1" t="s">
        <v>28</v>
      </c>
      <c r="C22" s="1" t="s">
        <v>30</v>
      </c>
      <c r="D22" s="1" t="s">
        <v>190</v>
      </c>
      <c r="E22" s="1" t="s">
        <v>191</v>
      </c>
    </row>
    <row r="23" spans="1:8" x14ac:dyDescent="0.25">
      <c r="A23" s="41" t="s">
        <v>192</v>
      </c>
      <c r="B23" s="16">
        <f>SUMIFS(Buchungen!$K$2:$K$151,Buchungen!$C$2:$C$151,"Einnahme",Buchungen!$D$2:$D$151,"Bezahlt",Buchungen!$R$2:$R$151,$B$3,Buchungen!$V$2:$V$151,A23)</f>
        <v>12500</v>
      </c>
      <c r="C23" s="16">
        <f>SUMIFS(Buchungen!$K$2:$K$151,Buchungen!$C$2:$C$151,"Ausgabe",Buchungen!$D$2:$D$151,"Bezahlt",Buchungen!$R$2:$R$151,$B$3,Buchungen!$V$2:$V$151,A23)</f>
        <v>0</v>
      </c>
      <c r="D23" s="16">
        <f t="shared" ref="D23:D38" si="4">B23-C23</f>
        <v>12500</v>
      </c>
      <c r="E23" s="45">
        <f t="shared" ref="E23:E38" si="5">IF($D$18=0,"",D23/$D$18)</f>
        <v>1.0963142790988121</v>
      </c>
    </row>
    <row r="24" spans="1:8" x14ac:dyDescent="0.25">
      <c r="A24" s="42" t="s">
        <v>193</v>
      </c>
      <c r="B24" s="17">
        <f>SUMIFS(Buchungen!$K$2:$K$151,Buchungen!$C$2:$C$151,"Einnahme",Buchungen!$D$2:$D$151,"Bezahlt",Buchungen!$R$2:$R$151,$B$3,Buchungen!$V$2:$V$151,A24)</f>
        <v>600</v>
      </c>
      <c r="C24" s="17">
        <f>SUMIFS(Buchungen!$K$2:$K$151,Buchungen!$C$2:$C$151,"Ausgabe",Buchungen!$D$2:$D$151,"Bezahlt",Buchungen!$R$2:$R$151,$B$3,Buchungen!$V$2:$V$151,A24)</f>
        <v>0</v>
      </c>
      <c r="D24" s="17">
        <f t="shared" si="4"/>
        <v>600</v>
      </c>
      <c r="E24" s="46">
        <f t="shared" si="5"/>
        <v>5.2623085396742979E-2</v>
      </c>
    </row>
    <row r="25" spans="1:8" x14ac:dyDescent="0.25">
      <c r="A25" s="42" t="s">
        <v>194</v>
      </c>
      <c r="B25" s="17">
        <f>SUMIFS(Buchungen!$K$2:$K$151,Buchungen!$C$2:$C$151,"Einnahme",Buchungen!$D$2:$D$151,"Bezahlt",Buchungen!$R$2:$R$151,$B$3,Buchungen!$V$2:$V$151,A25)</f>
        <v>0</v>
      </c>
      <c r="C25" s="17">
        <f>SUMIFS(Buchungen!$K$2:$K$151,Buchungen!$C$2:$C$151,"Ausgabe",Buchungen!$D$2:$D$151,"Bezahlt",Buchungen!$R$2:$R$151,$B$3,Buchungen!$V$2:$V$151,A25)</f>
        <v>50</v>
      </c>
      <c r="D25" s="17">
        <f t="shared" si="4"/>
        <v>-50</v>
      </c>
      <c r="E25" s="46">
        <f t="shared" si="5"/>
        <v>-4.3852571163952485E-3</v>
      </c>
    </row>
    <row r="26" spans="1:8" x14ac:dyDescent="0.25">
      <c r="A26" s="42" t="s">
        <v>86</v>
      </c>
      <c r="B26" s="17">
        <f>SUMIFS(Buchungen!$K$2:$K$151,Buchungen!$C$2:$C$151,"Einnahme",Buchungen!$D$2:$D$151,"Bezahlt",Buchungen!$R$2:$R$151,$B$3,Buchungen!$V$2:$V$151,A26)</f>
        <v>0</v>
      </c>
      <c r="C26" s="17">
        <f>SUMIFS(Buchungen!$K$2:$K$151,Buchungen!$C$2:$C$151,"Ausgabe",Buchungen!$D$2:$D$151,"Bezahlt",Buchungen!$R$2:$R$151,$B$3,Buchungen!$V$2:$V$151,A26)</f>
        <v>35</v>
      </c>
      <c r="D26" s="17">
        <f t="shared" si="4"/>
        <v>-35</v>
      </c>
      <c r="E26" s="46">
        <f t="shared" si="5"/>
        <v>-3.0696799814766739E-3</v>
      </c>
    </row>
    <row r="27" spans="1:8" x14ac:dyDescent="0.25">
      <c r="A27" s="42" t="s">
        <v>119</v>
      </c>
      <c r="B27" s="17">
        <f>SUMIFS(Buchungen!$K$2:$K$151,Buchungen!$C$2:$C$151,"Einnahme",Buchungen!$D$2:$D$151,"Bezahlt",Buchungen!$R$2:$R$151,$B$3,Buchungen!$V$2:$V$151,A27)</f>
        <v>0</v>
      </c>
      <c r="C27" s="17">
        <f>SUMIFS(Buchungen!$K$2:$K$151,Buchungen!$C$2:$C$151,"Ausgabe",Buchungen!$D$2:$D$151,"Bezahlt",Buchungen!$R$2:$R$151,$B$3,Buchungen!$V$2:$V$151,A27)</f>
        <v>40</v>
      </c>
      <c r="D27" s="17">
        <f t="shared" si="4"/>
        <v>-40</v>
      </c>
      <c r="E27" s="46">
        <f t="shared" si="5"/>
        <v>-3.5082056931161989E-3</v>
      </c>
    </row>
    <row r="28" spans="1:8" x14ac:dyDescent="0.25">
      <c r="A28" s="42" t="s">
        <v>135</v>
      </c>
      <c r="B28" s="17">
        <f>SUMIFS(Buchungen!$K$2:$K$151,Buchungen!$C$2:$C$151,"Einnahme",Buchungen!$D$2:$D$151,"Bezahlt",Buchungen!$R$2:$R$151,$B$3,Buchungen!$V$2:$V$151,A28)</f>
        <v>0</v>
      </c>
      <c r="C28" s="17">
        <f>SUMIFS(Buchungen!$K$2:$K$151,Buchungen!$C$2:$C$151,"Ausgabe",Buchungen!$D$2:$D$151,"Bezahlt",Buchungen!$R$2:$R$151,$B$3,Buchungen!$V$2:$V$151,A28)</f>
        <v>450</v>
      </c>
      <c r="D28" s="17">
        <f t="shared" si="4"/>
        <v>-450</v>
      </c>
      <c r="E28" s="46">
        <f t="shared" si="5"/>
        <v>-3.9467314047557239E-2</v>
      </c>
    </row>
    <row r="29" spans="1:8" x14ac:dyDescent="0.25">
      <c r="A29" s="42" t="s">
        <v>195</v>
      </c>
      <c r="B29" s="17">
        <f>SUMIFS(Buchungen!$K$2:$K$151,Buchungen!$C$2:$C$151,"Einnahme",Buchungen!$D$2:$D$151,"Bezahlt",Buchungen!$R$2:$R$151,$B$3,Buchungen!$V$2:$V$151,A29)</f>
        <v>0</v>
      </c>
      <c r="C29" s="17">
        <f>SUMIFS(Buchungen!$K$2:$K$151,Buchungen!$C$2:$C$151,"Ausgabe",Buchungen!$D$2:$D$151,"Bezahlt",Buchungen!$R$2:$R$151,$B$3,Buchungen!$V$2:$V$151,A29)</f>
        <v>42</v>
      </c>
      <c r="D29" s="17">
        <f t="shared" si="4"/>
        <v>-42</v>
      </c>
      <c r="E29" s="46">
        <f t="shared" si="5"/>
        <v>-3.6836159777720087E-3</v>
      </c>
    </row>
    <row r="30" spans="1:8" x14ac:dyDescent="0.25">
      <c r="A30" s="42" t="s">
        <v>196</v>
      </c>
      <c r="B30" s="17">
        <f>SUMIFS(Buchungen!$K$2:$K$151,Buchungen!$C$2:$C$151,"Einnahme",Buchungen!$D$2:$D$151,"Bezahlt",Buchungen!$R$2:$R$151,$B$3,Buchungen!$V$2:$V$151,A30)</f>
        <v>0</v>
      </c>
      <c r="C30" s="17">
        <f>SUMIFS(Buchungen!$K$2:$K$151,Buchungen!$C$2:$C$151,"Ausgabe",Buchungen!$D$2:$D$151,"Bezahlt",Buchungen!$R$2:$R$151,$B$3,Buchungen!$V$2:$V$151,A30)</f>
        <v>250</v>
      </c>
      <c r="D30" s="17">
        <f t="shared" si="4"/>
        <v>-250</v>
      </c>
      <c r="E30" s="46">
        <f t="shared" si="5"/>
        <v>-2.1926285581976242E-2</v>
      </c>
    </row>
    <row r="31" spans="1:8" x14ac:dyDescent="0.25">
      <c r="A31" s="42" t="s">
        <v>197</v>
      </c>
      <c r="B31" s="17">
        <f>SUMIFS(Buchungen!$K$2:$K$151,Buchungen!$C$2:$C$151,"Einnahme",Buchungen!$D$2:$D$151,"Bezahlt",Buchungen!$R$2:$R$151,$B$3,Buchungen!$V$2:$V$151,A31)</f>
        <v>0</v>
      </c>
      <c r="C31" s="17">
        <f>SUMIFS(Buchungen!$K$2:$K$151,Buchungen!$C$2:$C$151,"Ausgabe",Buchungen!$D$2:$D$151,"Bezahlt",Buchungen!$R$2:$R$151,$B$3,Buchungen!$V$2:$V$151,A31)</f>
        <v>204.01999999999998</v>
      </c>
      <c r="D31" s="17">
        <f t="shared" si="4"/>
        <v>-204.01999999999998</v>
      </c>
      <c r="E31" s="46">
        <f t="shared" si="5"/>
        <v>-1.7893603137739172E-2</v>
      </c>
    </row>
    <row r="32" spans="1:8" x14ac:dyDescent="0.25">
      <c r="A32" s="42" t="s">
        <v>198</v>
      </c>
      <c r="B32" s="17">
        <f>SUMIFS(Buchungen!$K$2:$K$151,Buchungen!$C$2:$C$151,"Einnahme",Buchungen!$D$2:$D$151,"Bezahlt",Buchungen!$R$2:$R$151,$B$3,Buchungen!$V$2:$V$151,A32)</f>
        <v>0</v>
      </c>
      <c r="C32" s="17">
        <f>SUMIFS(Buchungen!$K$2:$K$151,Buchungen!$C$2:$C$151,"Ausgabe",Buchungen!$D$2:$D$151,"Bezahlt",Buchungen!$R$2:$R$151,$B$3,Buchungen!$V$2:$V$151,A32)</f>
        <v>100</v>
      </c>
      <c r="D32" s="17">
        <f t="shared" si="4"/>
        <v>-100</v>
      </c>
      <c r="E32" s="46">
        <f t="shared" si="5"/>
        <v>-8.770514232790497E-3</v>
      </c>
    </row>
    <row r="33" spans="1:5" x14ac:dyDescent="0.25">
      <c r="A33" s="42" t="s">
        <v>199</v>
      </c>
      <c r="B33" s="17">
        <f>SUMIFS(Buchungen!$K$2:$K$151,Buchungen!$C$2:$C$151,"Einnahme",Buchungen!$D$2:$D$151,"Bezahlt",Buchungen!$R$2:$R$151,$B$3,Buchungen!$V$2:$V$151,A33)</f>
        <v>0</v>
      </c>
      <c r="C33" s="17">
        <f>SUMIFS(Buchungen!$K$2:$K$151,Buchungen!$C$2:$C$151,"Ausgabe",Buchungen!$D$2:$D$151,"Bezahlt",Buchungen!$R$2:$R$151,$B$3,Buchungen!$V$2:$V$151,A33)</f>
        <v>9.9</v>
      </c>
      <c r="D33" s="17">
        <f t="shared" si="4"/>
        <v>-9.9</v>
      </c>
      <c r="E33" s="46">
        <f t="shared" si="5"/>
        <v>-8.6828090904625919E-4</v>
      </c>
    </row>
    <row r="34" spans="1:5" x14ac:dyDescent="0.25">
      <c r="A34" s="42" t="s">
        <v>200</v>
      </c>
      <c r="B34" s="17">
        <f>SUMIFS(Buchungen!$K$2:$K$151,Buchungen!$C$2:$C$151,"Einnahme",Buchungen!$D$2:$D$151,"Bezahlt",Buchungen!$R$2:$R$151,$B$3,Buchungen!$V$2:$V$151,A34)</f>
        <v>0</v>
      </c>
      <c r="C34" s="17">
        <f>SUMIFS(Buchungen!$K$2:$K$151,Buchungen!$C$2:$C$151,"Ausgabe",Buchungen!$D$2:$D$151,"Bezahlt",Buchungen!$R$2:$R$151,$B$3,Buchungen!$V$2:$V$151,A34)</f>
        <v>38</v>
      </c>
      <c r="D34" s="17">
        <f t="shared" si="4"/>
        <v>-38</v>
      </c>
      <c r="E34" s="46">
        <f t="shared" si="5"/>
        <v>-3.3327954084603887E-3</v>
      </c>
    </row>
    <row r="35" spans="1:5" x14ac:dyDescent="0.25">
      <c r="A35" s="42" t="s">
        <v>154</v>
      </c>
      <c r="B35" s="17">
        <f>SUMIFS(Buchungen!$K$2:$K$151,Buchungen!$C$2:$C$151,"Einnahme",Buchungen!$D$2:$D$151,"Bezahlt",Buchungen!$R$2:$R$151,$B$3,Buchungen!$V$2:$V$151,A35)</f>
        <v>0</v>
      </c>
      <c r="C35" s="17">
        <f>SUMIFS(Buchungen!$K$2:$K$151,Buchungen!$C$2:$C$151,"Ausgabe",Buchungen!$D$2:$D$151,"Bezahlt",Buchungen!$R$2:$R$151,$B$3,Buchungen!$V$2:$V$151,A35)</f>
        <v>270</v>
      </c>
      <c r="D35" s="17">
        <f t="shared" si="4"/>
        <v>-270</v>
      </c>
      <c r="E35" s="46">
        <f t="shared" si="5"/>
        <v>-2.368038842853434E-2</v>
      </c>
    </row>
    <row r="36" spans="1:5" x14ac:dyDescent="0.25">
      <c r="A36" s="42" t="s">
        <v>201</v>
      </c>
      <c r="B36" s="17">
        <f>SUMIFS(Buchungen!$K$2:$K$151,Buchungen!$C$2:$C$151,"Einnahme",Buchungen!$D$2:$D$151,"Bezahlt",Buchungen!$R$2:$R$151,$B$3,Buchungen!$V$2:$V$151,A36)</f>
        <v>0</v>
      </c>
      <c r="C36" s="17">
        <f>SUMIFS(Buchungen!$K$2:$K$151,Buchungen!$C$2:$C$151,"Ausgabe",Buchungen!$D$2:$D$151,"Bezahlt",Buchungen!$R$2:$R$151,$B$3,Buchungen!$V$2:$V$151,A36)</f>
        <v>209.24</v>
      </c>
      <c r="D36" s="17">
        <f t="shared" si="4"/>
        <v>-209.24</v>
      </c>
      <c r="E36" s="46">
        <f t="shared" si="5"/>
        <v>-1.8351423980690836E-2</v>
      </c>
    </row>
    <row r="37" spans="1:5" x14ac:dyDescent="0.25">
      <c r="A37" s="42" t="s">
        <v>202</v>
      </c>
      <c r="B37" s="17">
        <f>SUMIFS(Buchungen!$K$2:$K$151,Buchungen!$C$2:$C$151,"Einnahme",Buchungen!$D$2:$D$151,"Bezahlt",Buchungen!$R$2:$R$151,$B$3,Buchungen!$V$2:$V$151,A37)</f>
        <v>0</v>
      </c>
      <c r="C37" s="17">
        <f>SUMIFS(Buchungen!$K$2:$K$151,Buchungen!$C$2:$C$151,"Ausgabe",Buchungen!$D$2:$D$151,"Bezahlt",Buchungen!$R$2:$R$151,$B$3,Buchungen!$V$2:$V$151,A37)</f>
        <v>0</v>
      </c>
      <c r="D37" s="17">
        <f t="shared" si="4"/>
        <v>0</v>
      </c>
      <c r="E37" s="46">
        <f t="shared" si="5"/>
        <v>0</v>
      </c>
    </row>
    <row r="38" spans="1:5" x14ac:dyDescent="0.25">
      <c r="A38" s="43" t="s">
        <v>203</v>
      </c>
      <c r="B38" s="18">
        <f>SUMIFS(Buchungen!$K$2:$K$151,Buchungen!$C$2:$C$151,"Einnahme",Buchungen!$D$2:$D$151,"Bezahlt",Buchungen!$R$2:$R$151,$B$3,Buchungen!$V$2:$V$151,A38)</f>
        <v>0</v>
      </c>
      <c r="C38" s="18">
        <f>SUMIFS(Buchungen!$K$2:$K$151,Buchungen!$C$2:$C$151,"Ausgabe",Buchungen!$D$2:$D$151,"Bezahlt",Buchungen!$R$2:$R$151,$B$3,Buchungen!$V$2:$V$151,A38)</f>
        <v>0</v>
      </c>
      <c r="D38" s="18">
        <f t="shared" si="4"/>
        <v>0</v>
      </c>
      <c r="E38" s="47">
        <f t="shared" si="5"/>
        <v>0</v>
      </c>
    </row>
  </sheetData>
  <mergeCells count="1">
    <mergeCell ref="A1:L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3"/>
  <sheetViews>
    <sheetView workbookViewId="0"/>
  </sheetViews>
  <sheetFormatPr baseColWidth="10" defaultColWidth="9" defaultRowHeight="15" x14ac:dyDescent="0.25"/>
  <cols>
    <col min="1" max="1" width="26" customWidth="1"/>
    <col min="2" max="2" width="18" customWidth="1"/>
    <col min="3" max="4" width="13" customWidth="1"/>
    <col min="5" max="5" width="26" customWidth="1"/>
    <col min="8" max="11" width="18" customWidth="1"/>
  </cols>
  <sheetData>
    <row r="1" spans="1:11" x14ac:dyDescent="0.25">
      <c r="A1" s="1" t="s">
        <v>58</v>
      </c>
      <c r="B1" s="1" t="s">
        <v>204</v>
      </c>
      <c r="C1" s="1" t="s">
        <v>205</v>
      </c>
      <c r="D1" s="1" t="s">
        <v>64</v>
      </c>
      <c r="E1" s="1" t="s">
        <v>189</v>
      </c>
      <c r="H1" s="1" t="s">
        <v>55</v>
      </c>
      <c r="I1" s="1" t="s">
        <v>59</v>
      </c>
      <c r="J1" s="1" t="s">
        <v>206</v>
      </c>
      <c r="K1" s="1" t="s">
        <v>207</v>
      </c>
    </row>
    <row r="2" spans="1:11" x14ac:dyDescent="0.25">
      <c r="A2" s="2" t="s">
        <v>76</v>
      </c>
      <c r="B2" s="3" t="s">
        <v>208</v>
      </c>
      <c r="C2" s="11">
        <v>0.19</v>
      </c>
      <c r="D2" s="11">
        <v>1</v>
      </c>
      <c r="E2" s="4" t="s">
        <v>192</v>
      </c>
      <c r="H2" t="s">
        <v>73</v>
      </c>
      <c r="I2" t="s">
        <v>77</v>
      </c>
      <c r="J2" t="s">
        <v>208</v>
      </c>
      <c r="K2" t="s">
        <v>209</v>
      </c>
    </row>
    <row r="3" spans="1:11" x14ac:dyDescent="0.25">
      <c r="A3" s="5" t="s">
        <v>91</v>
      </c>
      <c r="B3" s="6" t="s">
        <v>208</v>
      </c>
      <c r="C3" s="12">
        <v>0.19</v>
      </c>
      <c r="D3" s="12">
        <v>1</v>
      </c>
      <c r="E3" s="7" t="s">
        <v>192</v>
      </c>
      <c r="H3" t="s">
        <v>88</v>
      </c>
      <c r="I3" t="s">
        <v>82</v>
      </c>
      <c r="J3" t="s">
        <v>210</v>
      </c>
      <c r="K3" t="s">
        <v>13</v>
      </c>
    </row>
    <row r="4" spans="1:11" x14ac:dyDescent="0.25">
      <c r="A4" s="5" t="s">
        <v>100</v>
      </c>
      <c r="B4" s="6" t="s">
        <v>208</v>
      </c>
      <c r="C4" s="12">
        <v>0.19</v>
      </c>
      <c r="D4" s="12">
        <v>1</v>
      </c>
      <c r="E4" s="7" t="s">
        <v>192</v>
      </c>
      <c r="I4" t="s">
        <v>120</v>
      </c>
      <c r="J4" t="s">
        <v>211</v>
      </c>
      <c r="K4" t="s">
        <v>212</v>
      </c>
    </row>
    <row r="5" spans="1:11" x14ac:dyDescent="0.25">
      <c r="A5" s="5" t="s">
        <v>158</v>
      </c>
      <c r="B5" s="6" t="s">
        <v>208</v>
      </c>
      <c r="C5" s="12">
        <v>0.19</v>
      </c>
      <c r="D5" s="12">
        <v>1</v>
      </c>
      <c r="E5" s="7" t="s">
        <v>192</v>
      </c>
      <c r="I5" t="s">
        <v>213</v>
      </c>
      <c r="J5" t="s">
        <v>150</v>
      </c>
    </row>
    <row r="6" spans="1:11" x14ac:dyDescent="0.25">
      <c r="A6" s="5" t="s">
        <v>139</v>
      </c>
      <c r="B6" s="6" t="s">
        <v>208</v>
      </c>
      <c r="C6" s="12">
        <v>0</v>
      </c>
      <c r="D6" s="12">
        <v>1</v>
      </c>
      <c r="E6" s="7" t="s">
        <v>193</v>
      </c>
      <c r="I6" t="s">
        <v>96</v>
      </c>
      <c r="J6" t="s">
        <v>214</v>
      </c>
    </row>
    <row r="7" spans="1:11" x14ac:dyDescent="0.25">
      <c r="A7" s="5" t="s">
        <v>81</v>
      </c>
      <c r="B7" s="6" t="s">
        <v>210</v>
      </c>
      <c r="C7" s="12">
        <v>0.19</v>
      </c>
      <c r="D7" s="12">
        <v>1</v>
      </c>
      <c r="E7" s="7" t="s">
        <v>194</v>
      </c>
    </row>
    <row r="8" spans="1:11" x14ac:dyDescent="0.25">
      <c r="A8" s="5" t="s">
        <v>86</v>
      </c>
      <c r="B8" s="6" t="s">
        <v>210</v>
      </c>
      <c r="C8" s="12">
        <v>0.19</v>
      </c>
      <c r="D8" s="12">
        <v>1</v>
      </c>
      <c r="E8" s="7" t="s">
        <v>86</v>
      </c>
    </row>
    <row r="9" spans="1:11" x14ac:dyDescent="0.25">
      <c r="A9" s="5" t="s">
        <v>119</v>
      </c>
      <c r="B9" s="6" t="s">
        <v>210</v>
      </c>
      <c r="C9" s="12">
        <v>7.0000000000000007E-2</v>
      </c>
      <c r="D9" s="12">
        <v>1</v>
      </c>
      <c r="E9" s="7" t="s">
        <v>119</v>
      </c>
    </row>
    <row r="10" spans="1:11" x14ac:dyDescent="0.25">
      <c r="A10" s="5" t="s">
        <v>135</v>
      </c>
      <c r="B10" s="6" t="s">
        <v>210</v>
      </c>
      <c r="C10" s="12">
        <v>0.19</v>
      </c>
      <c r="D10" s="12">
        <v>1</v>
      </c>
      <c r="E10" s="7" t="s">
        <v>135</v>
      </c>
    </row>
    <row r="11" spans="1:11" x14ac:dyDescent="0.25">
      <c r="A11" s="5" t="s">
        <v>95</v>
      </c>
      <c r="B11" s="6" t="s">
        <v>210</v>
      </c>
      <c r="C11" s="12">
        <v>0.19</v>
      </c>
      <c r="D11" s="12">
        <v>1</v>
      </c>
      <c r="E11" s="7" t="s">
        <v>195</v>
      </c>
    </row>
    <row r="12" spans="1:11" x14ac:dyDescent="0.25">
      <c r="A12" s="5" t="s">
        <v>112</v>
      </c>
      <c r="B12" s="6" t="s">
        <v>210</v>
      </c>
      <c r="C12" s="12">
        <v>0.19</v>
      </c>
      <c r="D12" s="12">
        <v>1</v>
      </c>
      <c r="E12" s="7" t="s">
        <v>196</v>
      </c>
    </row>
    <row r="13" spans="1:11" x14ac:dyDescent="0.25">
      <c r="A13" s="5" t="s">
        <v>104</v>
      </c>
      <c r="B13" s="6" t="s">
        <v>210</v>
      </c>
      <c r="C13" s="12">
        <v>7.0000000000000007E-2</v>
      </c>
      <c r="D13" s="12">
        <v>1</v>
      </c>
      <c r="E13" s="7" t="s">
        <v>197</v>
      </c>
    </row>
    <row r="14" spans="1:11" x14ac:dyDescent="0.25">
      <c r="A14" s="5" t="s">
        <v>162</v>
      </c>
      <c r="B14" s="6" t="s">
        <v>210</v>
      </c>
      <c r="C14" s="12">
        <v>7.0000000000000007E-2</v>
      </c>
      <c r="D14" s="12">
        <v>1</v>
      </c>
      <c r="E14" s="7" t="s">
        <v>197</v>
      </c>
    </row>
    <row r="15" spans="1:11" x14ac:dyDescent="0.25">
      <c r="A15" s="5" t="s">
        <v>108</v>
      </c>
      <c r="B15" s="6" t="s">
        <v>210</v>
      </c>
      <c r="C15" s="12">
        <v>0.19</v>
      </c>
      <c r="D15" s="12">
        <v>0.7</v>
      </c>
      <c r="E15" s="7" t="s">
        <v>198</v>
      </c>
    </row>
    <row r="16" spans="1:11" x14ac:dyDescent="0.25">
      <c r="A16" s="5" t="s">
        <v>169</v>
      </c>
      <c r="B16" s="6" t="s">
        <v>210</v>
      </c>
      <c r="C16" s="12">
        <v>0</v>
      </c>
      <c r="D16" s="12">
        <v>1</v>
      </c>
      <c r="E16" s="7" t="s">
        <v>199</v>
      </c>
    </row>
    <row r="17" spans="1:5" x14ac:dyDescent="0.25">
      <c r="A17" s="5" t="s">
        <v>131</v>
      </c>
      <c r="B17" s="6" t="s">
        <v>210</v>
      </c>
      <c r="C17" s="12">
        <v>0</v>
      </c>
      <c r="D17" s="12">
        <v>1</v>
      </c>
      <c r="E17" s="7" t="s">
        <v>200</v>
      </c>
    </row>
    <row r="18" spans="1:5" x14ac:dyDescent="0.25">
      <c r="A18" s="5" t="s">
        <v>154</v>
      </c>
      <c r="B18" s="6" t="s">
        <v>210</v>
      </c>
      <c r="C18" s="12">
        <v>0.19</v>
      </c>
      <c r="D18" s="12">
        <v>1</v>
      </c>
      <c r="E18" s="7" t="s">
        <v>154</v>
      </c>
    </row>
    <row r="19" spans="1:5" x14ac:dyDescent="0.25">
      <c r="A19" s="5" t="s">
        <v>143</v>
      </c>
      <c r="B19" s="6" t="s">
        <v>210</v>
      </c>
      <c r="C19" s="12">
        <v>0.19</v>
      </c>
      <c r="D19" s="12">
        <v>1</v>
      </c>
      <c r="E19" s="7" t="s">
        <v>201</v>
      </c>
    </row>
    <row r="20" spans="1:5" x14ac:dyDescent="0.25">
      <c r="A20" s="5" t="s">
        <v>124</v>
      </c>
      <c r="B20" s="6" t="s">
        <v>211</v>
      </c>
      <c r="C20" s="12">
        <v>0</v>
      </c>
      <c r="D20" s="12">
        <v>1</v>
      </c>
      <c r="E20" s="7" t="s">
        <v>202</v>
      </c>
    </row>
    <row r="21" spans="1:5" x14ac:dyDescent="0.25">
      <c r="A21" s="5" t="s">
        <v>165</v>
      </c>
      <c r="B21" s="6" t="s">
        <v>214</v>
      </c>
      <c r="C21" s="12">
        <v>0</v>
      </c>
      <c r="D21" s="12">
        <v>0</v>
      </c>
      <c r="E21" s="7" t="s">
        <v>203</v>
      </c>
    </row>
    <row r="22" spans="1:5" x14ac:dyDescent="0.25">
      <c r="A22" s="5" t="s">
        <v>150</v>
      </c>
      <c r="B22" s="6" t="s">
        <v>150</v>
      </c>
      <c r="C22" s="12">
        <v>0</v>
      </c>
      <c r="D22" s="12">
        <v>0</v>
      </c>
      <c r="E22" s="7" t="s">
        <v>203</v>
      </c>
    </row>
    <row r="23" spans="1:5" x14ac:dyDescent="0.25">
      <c r="A23" s="8" t="s">
        <v>214</v>
      </c>
      <c r="B23" s="9" t="s">
        <v>214</v>
      </c>
      <c r="C23" s="13">
        <v>0</v>
      </c>
      <c r="D23" s="13">
        <v>0</v>
      </c>
      <c r="E23" s="10" t="s">
        <v>203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Übersicht</vt:lpstr>
      <vt:lpstr>Buchungen</vt:lpstr>
      <vt:lpstr>USt-Auswertung</vt:lpstr>
      <vt:lpstr>Kategorien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2026-05-14T10:38:16Z</dcterms:modified>
</cp:coreProperties>
</file>