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ergi\Documents\SEO\SEO\AA_Webs\Excel Aleman\break even\"/>
    </mc:Choice>
  </mc:AlternateContent>
  <xr:revisionPtr revIDLastSave="0" documentId="13_ncr:1_{4E09F789-57FB-4373-B8F1-D9FE0740B138}" xr6:coauthVersionLast="47" xr6:coauthVersionMax="47" xr10:uidLastSave="{00000000-0000-0000-0000-000000000000}"/>
  <bookViews>
    <workbookView xWindow="-120" yWindow="-120" windowWidth="29040" windowHeight="15720" xr2:uid="{00000000-000D-0000-FFFF-FFFF00000000}"/>
  </bookViews>
  <sheets>
    <sheet name="Break-even" sheetId="1" r:id="rId1"/>
    <sheet name="Anleitung"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1" l="1"/>
  <c r="D27" i="1"/>
  <c r="H17" i="1"/>
  <c r="H24" i="1" s="1"/>
  <c r="H16" i="1"/>
  <c r="B6" i="1"/>
  <c r="H37" i="1" l="1"/>
  <c r="J37" i="1" s="1"/>
  <c r="H36" i="1"/>
  <c r="J36" i="1" s="1"/>
  <c r="H35" i="1"/>
  <c r="J35" i="1" s="1"/>
  <c r="H34" i="1"/>
  <c r="J34" i="1" s="1"/>
  <c r="H19" i="1"/>
  <c r="K37" i="1"/>
  <c r="I37" i="1"/>
  <c r="K36" i="1"/>
  <c r="I36" i="1"/>
  <c r="K35" i="1"/>
  <c r="I35" i="1"/>
  <c r="K34" i="1"/>
  <c r="H18" i="1"/>
  <c r="I34" i="1"/>
  <c r="F42" i="1"/>
  <c r="D42" i="1" l="1"/>
  <c r="H20" i="1"/>
  <c r="H25" i="1"/>
  <c r="H26" i="1" s="1"/>
  <c r="H5" i="1" s="1"/>
  <c r="C70" i="1"/>
  <c r="D70" i="1"/>
  <c r="E70" i="1"/>
  <c r="F70" i="1"/>
  <c r="G70" i="1"/>
  <c r="H70" i="1"/>
  <c r="E72" i="1"/>
  <c r="H30" i="1"/>
  <c r="C71" i="1"/>
  <c r="D71" i="1"/>
  <c r="E71" i="1"/>
  <c r="F71" i="1"/>
  <c r="G71" i="1"/>
  <c r="H71" i="1"/>
  <c r="C72" i="1"/>
  <c r="D72" i="1"/>
  <c r="F72" i="1"/>
  <c r="G72" i="1"/>
  <c r="H72" i="1"/>
  <c r="C73" i="1"/>
  <c r="D73" i="1"/>
  <c r="E73" i="1"/>
  <c r="F73" i="1"/>
  <c r="G73" i="1"/>
  <c r="H73" i="1"/>
  <c r="C42" i="1"/>
  <c r="E42" i="1" s="1"/>
  <c r="H21" i="1"/>
  <c r="H22" i="1"/>
  <c r="H29" i="1"/>
  <c r="H23" i="1" l="1"/>
  <c r="B46" i="1"/>
  <c r="B55" i="1"/>
  <c r="B57" i="1"/>
  <c r="B65" i="1"/>
  <c r="B44" i="1"/>
  <c r="B45" i="1"/>
  <c r="B48" i="1"/>
  <c r="B49" i="1"/>
  <c r="B51" i="1"/>
  <c r="B53" i="1"/>
  <c r="B54" i="1"/>
  <c r="B56" i="1"/>
  <c r="B58" i="1"/>
  <c r="B60" i="1"/>
  <c r="B63" i="1"/>
  <c r="B47" i="1"/>
  <c r="B52" i="1"/>
  <c r="B62" i="1"/>
  <c r="B64" i="1"/>
  <c r="B5" i="1"/>
  <c r="H27" i="1"/>
  <c r="B43" i="1"/>
  <c r="B50" i="1"/>
  <c r="B59" i="1"/>
  <c r="B61" i="1"/>
  <c r="H28" i="1" l="1"/>
  <c r="K5" i="1" s="1"/>
  <c r="E5" i="1"/>
  <c r="F46" i="1"/>
  <c r="D46" i="1"/>
  <c r="C46" i="1"/>
  <c r="E46" i="1"/>
  <c r="C55" i="1"/>
  <c r="D55" i="1"/>
  <c r="E55" i="1" s="1"/>
  <c r="F55" i="1"/>
  <c r="C57" i="1"/>
  <c r="D57" i="1"/>
  <c r="F57" i="1"/>
  <c r="C65" i="1"/>
  <c r="D65" i="1"/>
  <c r="E65" i="1" s="1"/>
  <c r="F65" i="1"/>
  <c r="C44" i="1"/>
  <c r="D44" i="1"/>
  <c r="F44" i="1"/>
  <c r="E44" i="1"/>
  <c r="F45" i="1"/>
  <c r="D45" i="1"/>
  <c r="C45" i="1"/>
  <c r="F48" i="1"/>
  <c r="D48" i="1"/>
  <c r="C48" i="1"/>
  <c r="C49" i="1"/>
  <c r="D49" i="1"/>
  <c r="E49" i="1" s="1"/>
  <c r="F49" i="1"/>
  <c r="F51" i="1"/>
  <c r="D51" i="1"/>
  <c r="C51" i="1"/>
  <c r="E51" i="1" s="1"/>
  <c r="C53" i="1"/>
  <c r="F53" i="1"/>
  <c r="D53" i="1"/>
  <c r="D54" i="1"/>
  <c r="C54" i="1"/>
  <c r="E54" i="1"/>
  <c r="F54" i="1"/>
  <c r="D56" i="1"/>
  <c r="C56" i="1"/>
  <c r="E56" i="1" s="1"/>
  <c r="F56" i="1"/>
  <c r="D58" i="1"/>
  <c r="C58" i="1"/>
  <c r="E58" i="1" s="1"/>
  <c r="F58" i="1"/>
  <c r="C60" i="1"/>
  <c r="E60" i="1" s="1"/>
  <c r="D60" i="1"/>
  <c r="F60" i="1"/>
  <c r="C63" i="1"/>
  <c r="D63" i="1"/>
  <c r="E63" i="1"/>
  <c r="F63" i="1"/>
  <c r="F47" i="1"/>
  <c r="D47" i="1"/>
  <c r="C47" i="1"/>
  <c r="E47" i="1" s="1"/>
  <c r="D52" i="1"/>
  <c r="C52" i="1"/>
  <c r="F52" i="1"/>
  <c r="E52" i="1"/>
  <c r="D62" i="1"/>
  <c r="C62" i="1"/>
  <c r="E62" i="1" s="1"/>
  <c r="F62" i="1"/>
  <c r="C64" i="1"/>
  <c r="D64" i="1"/>
  <c r="E64" i="1"/>
  <c r="F64" i="1"/>
  <c r="D43" i="1"/>
  <c r="F43" i="1"/>
  <c r="C43" i="1"/>
  <c r="E43" i="1"/>
  <c r="F50" i="1"/>
  <c r="D50" i="1"/>
  <c r="C50" i="1"/>
  <c r="E50" i="1" s="1"/>
  <c r="D59" i="1"/>
  <c r="C59" i="1"/>
  <c r="E59" i="1" s="1"/>
  <c r="F59" i="1"/>
  <c r="C61" i="1"/>
  <c r="D61" i="1"/>
  <c r="E61" i="1"/>
  <c r="F61" i="1"/>
  <c r="E45" i="1" l="1"/>
  <c r="E48" i="1"/>
  <c r="E53" i="1"/>
  <c r="E57" i="1"/>
</calcChain>
</file>

<file path=xl/sharedStrings.xml><?xml version="1.0" encoding="utf-8"?>
<sst xmlns="http://schemas.openxmlformats.org/spreadsheetml/2006/main" count="145" uniqueCount="119">
  <si>
    <t>Break-even-Analyse Vorlage</t>
  </si>
  <si>
    <t>Gelbe Zellen sind Eingaben. Die Kennzahlen, der Szenariovergleich, das Diagramm und die Sensitivitätsanalyse aktualisieren sich automatisch.</t>
  </si>
  <si>
    <t>Break-even-Menge</t>
  </si>
  <si>
    <t>Break-even-Umsatz</t>
  </si>
  <si>
    <t>Geplanter Gewinn</t>
  </si>
  <si>
    <t>Sicherheitsmarge</t>
  </si>
  <si>
    <t>Netto-Umsatz an der Gewinnschwelle</t>
  </si>
  <si>
    <t>bei aktivem Szenario</t>
  </si>
  <si>
    <t>Abstand bis zur Verlustzone</t>
  </si>
  <si>
    <t>Eingaben</t>
  </si>
  <si>
    <t>Szenario-Treiber</t>
  </si>
  <si>
    <t>Projekt / Produkt</t>
  </si>
  <si>
    <t>Beispiel: Premium-Onlinekurs für digitale Produktivität</t>
  </si>
  <si>
    <t>Szenario</t>
  </si>
  <si>
    <t>Preisänderung</t>
  </si>
  <si>
    <t>Absatzänderung</t>
  </si>
  <si>
    <t>Fixkostenänderung</t>
  </si>
  <si>
    <t>Var. Kostenänderung</t>
  </si>
  <si>
    <t>Zeitraum</t>
  </si>
  <si>
    <t>Monat</t>
  </si>
  <si>
    <t>Basis</t>
  </si>
  <si>
    <t>Einheit</t>
  </si>
  <si>
    <t>Teilnehmer</t>
  </si>
  <si>
    <t>Vorsichtig</t>
  </si>
  <si>
    <t>Aktives Szenario</t>
  </si>
  <si>
    <t>Stark</t>
  </si>
  <si>
    <t>Verkaufspreis netto je Einheit</t>
  </si>
  <si>
    <t>Eigenes</t>
  </si>
  <si>
    <t>Geplante Absatzmenge</t>
  </si>
  <si>
    <t>Kapazität / Analyse-Obergrenze</t>
  </si>
  <si>
    <t>Kennzahlen im aktiven Szenario</t>
  </si>
  <si>
    <t>Gewinnziel</t>
  </si>
  <si>
    <t>Effektiver Preis je Einheit</t>
  </si>
  <si>
    <t>Diagrammpunkte</t>
  </si>
  <si>
    <t>Effektive geplante Menge</t>
  </si>
  <si>
    <t>Effektive Fixkosten</t>
  </si>
  <si>
    <t>Fixkosten pro Zeitraum</t>
  </si>
  <si>
    <t>Effektive variable Kosten je Einheit</t>
  </si>
  <si>
    <t>Kostenart</t>
  </si>
  <si>
    <t>Beschreibung</t>
  </si>
  <si>
    <t>Betrag</t>
  </si>
  <si>
    <t>Deckungsbeitrag je Einheit</t>
  </si>
  <si>
    <t>Software &amp; Plattform</t>
  </si>
  <si>
    <t>Lizenzen, Hosting, Zahlungsanbieter-Grundgebühren</t>
  </si>
  <si>
    <t>Deckungsbeitragsquote</t>
  </si>
  <si>
    <t>Content-Produktion</t>
  </si>
  <si>
    <t>Studio, Schnitt, Design und Kursmaterial</t>
  </si>
  <si>
    <t>Anzeigenbudget</t>
  </si>
  <si>
    <t>Launch-Kampagne und Retargeting</t>
  </si>
  <si>
    <t>Freelancer-Support</t>
  </si>
  <si>
    <t>Community, Kundenservice und Moderation</t>
  </si>
  <si>
    <t>Geplanter Umsatz</t>
  </si>
  <si>
    <t>Verwaltung &amp; Tools</t>
  </si>
  <si>
    <t>Buchhaltung, CRM und interne Tools</t>
  </si>
  <si>
    <t>Geplante Gesamtkosten</t>
  </si>
  <si>
    <t>Reserve</t>
  </si>
  <si>
    <t>Puffer für unvorhergesehene Kosten</t>
  </si>
  <si>
    <t>Summe Fixkosten</t>
  </si>
  <si>
    <t>Sicherheitsabstand in Einheiten</t>
  </si>
  <si>
    <t>Variable Kosten je Einheit</t>
  </si>
  <si>
    <t>Menge für Gewinnziel</t>
  </si>
  <si>
    <t>Mindestpreis bei Planmenge</t>
  </si>
  <si>
    <t>Payment-Gebühren</t>
  </si>
  <si>
    <t>Transaktionskosten und Rückerstattungsrisiko</t>
  </si>
  <si>
    <t>Plattform-Zugriff</t>
  </si>
  <si>
    <t>Nutzerabhängige Kosten je Teilnehmer</t>
  </si>
  <si>
    <t>Szenariovergleich</t>
  </si>
  <si>
    <t>Interpretation</t>
  </si>
  <si>
    <t>Support pro Teilnehmer</t>
  </si>
  <si>
    <t>E-Mail, Community und Lernbegleitung</t>
  </si>
  <si>
    <t>Mindestpreis</t>
  </si>
  <si>
    <t>Liegt die effektive geplante Menge über der Break-even-Menge, entsteht im aktiven Szenario Gewinn. Die Sicherheitsmarge zeigt, wie stark der Umsatz fallen kann, bevor die Verlustzone erreicht wird.</t>
  </si>
  <si>
    <t>Zertifikat &amp; Material</t>
  </si>
  <si>
    <t>Digitale Zertifikate und Vorlagen</t>
  </si>
  <si>
    <t>Affiliate-Provision</t>
  </si>
  <si>
    <t>Durchschnittliche Vertriebsprovision</t>
  </si>
  <si>
    <t>Sonstiges</t>
  </si>
  <si>
    <t>Puffer je Einheit</t>
  </si>
  <si>
    <t>Summe variable Kosten</t>
  </si>
  <si>
    <t>Daten für Diagramm</t>
  </si>
  <si>
    <t>Menge</t>
  </si>
  <si>
    <t>Fixkosten</t>
  </si>
  <si>
    <t>Variable Kosten</t>
  </si>
  <si>
    <t>Gesamtkosten</t>
  </si>
  <si>
    <t>Umsatz</t>
  </si>
  <si>
    <t>Sensitivität: Break-even-Menge bei Preis- und Kostenänderungen</t>
  </si>
  <si>
    <t>Variable Kosten \ Preis</t>
  </si>
  <si>
    <t>-15%</t>
  </si>
  <si>
    <t>-10%</t>
  </si>
  <si>
    <t>0%</t>
  </si>
  <si>
    <t>+10%</t>
  </si>
  <si>
    <t>+15%</t>
  </si>
  <si>
    <t>+20%</t>
  </si>
  <si>
    <t>Hinweis</t>
  </si>
  <si>
    <t>weniger Menge nötig</t>
  </si>
  <si>
    <t>mehr Menge nötig</t>
  </si>
  <si>
    <t>kritischer Bereich</t>
  </si>
  <si>
    <t>Anleitung zur Break-even-Vorlage</t>
  </si>
  <si>
    <t>So nutzt du die Vorlage</t>
  </si>
  <si>
    <t>1</t>
  </si>
  <si>
    <t>Gelbe Eingabezellen bearbeiten</t>
  </si>
  <si>
    <t>Trage Produkt, Preis, geplante Menge, Fixkosten und variable Kosten ein. Die Beispielwerte dienen nur als Orientierung.</t>
  </si>
  <si>
    <t>2</t>
  </si>
  <si>
    <t>Szenario auswählen</t>
  </si>
  <si>
    <t>Wähle im Tabellenblatt „Break-even“ ein aktives Szenario. Die Werte aus dem Szenario-Treiber werden automatisch angewendet.</t>
  </si>
  <si>
    <t>3</t>
  </si>
  <si>
    <t>Kennzahlen prüfen</t>
  </si>
  <si>
    <t>Break-even-Menge, Break-even-Umsatz, Deckungsbeitrag, Sicherheitsmarge und Gewinnziel-Menge werden automatisch berechnet.</t>
  </si>
  <si>
    <t>4</t>
  </si>
  <si>
    <t>Diagramm und Sensitivität nutzen</t>
  </si>
  <si>
    <t>Das Diagramm zeigt die Kosten- und Umsatzkurven. Die Sensitivitätsmatrix zeigt, wie stark Preis- und Kostenänderungen die Gewinnschwelle beeinflussen.</t>
  </si>
  <si>
    <t>Wichtige Formeln</t>
  </si>
  <si>
    <t>Verkaufspreis je Einheit − variable Kosten je Einheit</t>
  </si>
  <si>
    <t>Fixkosten ÷ Deckungsbeitrag je Einheit</t>
  </si>
  <si>
    <t>Break-even-Menge × Verkaufspreis je Einheit</t>
  </si>
  <si>
    <t>(Geplanter Umsatz − Break-even-Umsatz) ÷ geplanter Umsatz</t>
  </si>
  <si>
    <t>Fixkosten ÷ geplante Menge + variable Kosten je Einheit</t>
  </si>
  <si>
    <t>Hinweise</t>
  </si>
  <si>
    <t>Die Vorlage arbeitet netto und ohne Umsatzsteuer. Für präzise Entscheidungen sollten Rabatte, Retouren, Zahlungsgebühren und variable Vertriebskosten in den variablen Kosten je Einheit berücksichtigt werden. Werden Preis oder Deckungsbeitrag negativ bzw. zu niedrig, bleibt die Break-even-Menge leer, weil keine wirtschaftlich sinnvolle Gewinnschwelle berechnet werden kann.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</si>
</sst>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Red]\(#,##0\ \€\);\-"/>
    <numFmt numFmtId="165" formatCode="#,##0.00\ \€;[Red]\(#,##0.00\ \€\);\-"/>
    <numFmt numFmtId="166" formatCode="#,##0;[Red]\(#,##0\);\-"/>
    <numFmt numFmtId="167" formatCode="0.0%;[Red]\(0.0%\);\-"/>
  </numFmts>
  <fonts count="13" x14ac:knownFonts="1">
    <font>
      <sz val="11"/>
      <name val="Carlito"/>
    </font>
    <font>
      <b/>
      <sz val="10"/>
      <color rgb="FFFFFFFF"/>
      <name val="Aptos"/>
    </font>
    <font>
      <i/>
      <sz val="10"/>
      <color rgb="FF334155"/>
      <name val="Aptos"/>
    </font>
    <font>
      <sz val="10"/>
      <name val="Aptos"/>
    </font>
    <font>
      <b/>
      <sz val="10"/>
      <name val="Aptos"/>
    </font>
    <font>
      <sz val="10"/>
      <color rgb="FF0000FF"/>
      <name val="Aptos"/>
    </font>
    <font>
      <sz val="10"/>
      <color rgb="FF000000"/>
      <name val="Aptos"/>
    </font>
    <font>
      <i/>
      <sz val="10"/>
      <name val="Aptos"/>
    </font>
    <font>
      <b/>
      <sz val="18"/>
      <color rgb="FFFFFFFF"/>
      <name val="Aptos Display"/>
    </font>
    <font>
      <b/>
      <sz val="16"/>
      <color rgb="FF111827"/>
      <name val="Aptos"/>
    </font>
    <font>
      <b/>
      <sz val="16"/>
      <color rgb="FFFFFFFF"/>
      <name val="Aptos Display"/>
    </font>
    <font>
      <i/>
      <sz val="9"/>
      <color rgb="FF475569"/>
      <name val="Aptos"/>
    </font>
    <font>
      <sz val="11"/>
      <name val="Carlito"/>
    </font>
  </fonts>
  <fills count="10">
    <fill>
      <patternFill patternType="none"/>
    </fill>
    <fill>
      <patternFill patternType="gray125"/>
    </fill>
    <fill>
      <patternFill patternType="solid">
        <fgColor rgb="FF1F4E5F"/>
      </patternFill>
    </fill>
    <fill>
      <patternFill patternType="solid">
        <fgColor rgb="FFEAF3F8"/>
      </patternFill>
    </fill>
    <fill>
      <patternFill patternType="solid">
        <fgColor rgb="FFF3F6F8"/>
      </patternFill>
    </fill>
    <fill>
      <patternFill patternType="solid">
        <fgColor rgb="FF243B53"/>
      </patternFill>
    </fill>
    <fill>
      <patternFill patternType="solid">
        <fgColor rgb="FFFFF2CC"/>
      </patternFill>
    </fill>
    <fill>
      <patternFill patternType="solid">
        <fgColor rgb="FFFFFFFF"/>
      </patternFill>
    </fill>
    <fill>
      <patternFill patternType="solid">
        <fgColor rgb="FFD9EAF7"/>
      </patternFill>
    </fill>
    <fill>
      <patternFill patternType="solid">
        <fgColor rgb="FFF8FAFC"/>
      </patternFill>
    </fill>
  </fills>
  <borders count="1">
    <border>
      <left/>
      <right/>
      <top/>
      <bottom/>
      <diagonal/>
    </border>
  </borders>
  <cellStyleXfs count="2">
    <xf numFmtId="0" fontId="0" fillId="0" borderId="0"/>
    <xf numFmtId="0" fontId="12" fillId="0" borderId="0"/>
  </cellStyleXfs>
  <cellXfs count="45">
    <xf numFmtId="0" fontId="0" fillId="0" borderId="0" xfId="0"/>
    <xf numFmtId="0" fontId="3" fillId="0" borderId="0" xfId="1" applyFont="1"/>
    <xf numFmtId="0" fontId="4" fillId="4" borderId="0" xfId="1" applyFont="1" applyFill="1" applyAlignment="1">
      <alignment vertical="center"/>
    </xf>
    <xf numFmtId="0" fontId="1" fillId="5" borderId="0" xfId="1" applyFont="1" applyFill="1" applyAlignment="1">
      <alignment horizontal="center"/>
    </xf>
    <xf numFmtId="0" fontId="4" fillId="4" borderId="0" xfId="1" applyFont="1" applyFill="1"/>
    <xf numFmtId="167" fontId="5" fillId="6" borderId="0" xfId="1" applyNumberFormat="1" applyFont="1" applyFill="1" applyAlignment="1">
      <alignment horizontal="right"/>
    </xf>
    <xf numFmtId="0" fontId="4" fillId="4" borderId="0" xfId="1" applyFont="1" applyFill="1" applyAlignment="1">
      <alignment horizontal="left"/>
    </xf>
    <xf numFmtId="164" fontId="6" fillId="7" borderId="0" xfId="1" applyNumberFormat="1" applyFont="1" applyFill="1" applyAlignment="1">
      <alignment horizontal="right"/>
    </xf>
    <xf numFmtId="166" fontId="6" fillId="7" borderId="0" xfId="1" applyNumberFormat="1" applyFont="1" applyFill="1" applyAlignment="1">
      <alignment horizontal="right"/>
    </xf>
    <xf numFmtId="0" fontId="3" fillId="7" borderId="0" xfId="1" applyFont="1" applyFill="1" applyAlignment="1">
      <alignment vertical="top" wrapText="1"/>
    </xf>
    <xf numFmtId="167" fontId="6" fillId="7" borderId="0" xfId="1" applyNumberFormat="1" applyFont="1" applyFill="1" applyAlignment="1">
      <alignment horizontal="right"/>
    </xf>
    <xf numFmtId="0" fontId="4" fillId="8" borderId="0" xfId="1" applyFont="1" applyFill="1" applyAlignment="1">
      <alignment horizontal="right"/>
    </xf>
    <xf numFmtId="0" fontId="3" fillId="9" borderId="0" xfId="1" applyFont="1" applyFill="1" applyAlignment="1">
      <alignment vertical="top" wrapText="1"/>
    </xf>
    <xf numFmtId="166" fontId="3" fillId="7" borderId="0" xfId="1" applyNumberFormat="1" applyFont="1" applyFill="1" applyAlignment="1">
      <alignment horizontal="right"/>
    </xf>
    <xf numFmtId="164" fontId="3" fillId="7" borderId="0" xfId="1" applyNumberFormat="1" applyFont="1" applyFill="1" applyAlignment="1">
      <alignment horizontal="right"/>
    </xf>
    <xf numFmtId="167" fontId="3" fillId="7" borderId="0" xfId="1" applyNumberFormat="1" applyFont="1" applyFill="1" applyAlignment="1">
      <alignment horizontal="right"/>
    </xf>
    <xf numFmtId="0" fontId="4" fillId="4" borderId="0" xfId="1" applyFont="1" applyFill="1" applyAlignment="1">
      <alignment horizontal="center"/>
    </xf>
    <xf numFmtId="0" fontId="7" fillId="4" borderId="0" xfId="1" applyFont="1" applyFill="1" applyAlignment="1">
      <alignment wrapText="1"/>
    </xf>
    <xf numFmtId="0" fontId="4" fillId="8" borderId="0" xfId="1" applyFont="1" applyFill="1" applyAlignment="1">
      <alignment horizontal="center"/>
    </xf>
    <xf numFmtId="0" fontId="3" fillId="7" borderId="0" xfId="1" applyFont="1" applyFill="1" applyAlignment="1">
      <alignment wrapText="1"/>
    </xf>
    <xf numFmtId="0" fontId="1" fillId="5" borderId="0" xfId="1" applyFont="1" applyFill="1" applyAlignment="1">
      <alignment horizontal="center" vertical="top" wrapText="1"/>
    </xf>
    <xf numFmtId="164" fontId="3" fillId="7" borderId="0" xfId="1" applyNumberFormat="1" applyFont="1" applyFill="1" applyAlignment="1">
      <alignment horizontal="right" vertical="top" wrapText="1"/>
    </xf>
    <xf numFmtId="0" fontId="8" fillId="2" borderId="0" xfId="1" applyFont="1" applyFill="1" applyAlignment="1">
      <alignment horizontal="center" vertical="center"/>
    </xf>
    <xf numFmtId="0" fontId="2" fillId="3" borderId="0" xfId="1" applyFont="1" applyFill="1" applyAlignment="1">
      <alignment horizontal="center" vertical="center"/>
    </xf>
    <xf numFmtId="0" fontId="1" fillId="2" borderId="0" xfId="1" applyFont="1" applyFill="1" applyAlignment="1">
      <alignment horizontal="left"/>
    </xf>
    <xf numFmtId="0" fontId="1" fillId="2" borderId="0" xfId="1" applyFont="1" applyFill="1"/>
    <xf numFmtId="0" fontId="1" fillId="5" borderId="0" xfId="1" applyFont="1" applyFill="1" applyAlignment="1">
      <alignment horizontal="center" vertical="center"/>
    </xf>
    <xf numFmtId="166" fontId="9" fillId="7" borderId="0" xfId="1" applyNumberFormat="1" applyFont="1" applyFill="1" applyAlignment="1">
      <alignment horizontal="center" vertical="center"/>
    </xf>
    <xf numFmtId="0" fontId="11" fillId="9" borderId="0" xfId="1" applyFont="1" applyFill="1" applyAlignment="1">
      <alignment horizontal="center" vertical="center"/>
    </xf>
    <xf numFmtId="164" fontId="9" fillId="7" borderId="0" xfId="1" applyNumberFormat="1" applyFont="1" applyFill="1" applyAlignment="1">
      <alignment horizontal="center" vertical="center"/>
    </xf>
    <xf numFmtId="167" fontId="9" fillId="7" borderId="0" xfId="1" applyNumberFormat="1" applyFont="1" applyFill="1" applyAlignment="1">
      <alignment horizontal="center" vertical="center"/>
    </xf>
    <xf numFmtId="0" fontId="1" fillId="2" borderId="0" xfId="1" applyFont="1" applyFill="1" applyAlignment="1">
      <alignment horizontal="center"/>
    </xf>
    <xf numFmtId="0" fontId="3" fillId="9" borderId="0" xfId="1" applyFont="1" applyFill="1" applyAlignment="1">
      <alignment vertical="top" wrapText="1"/>
    </xf>
    <xf numFmtId="0" fontId="10" fillId="2" borderId="0" xfId="1" applyFont="1" applyFill="1" applyAlignment="1">
      <alignment horizontal="center"/>
    </xf>
    <xf numFmtId="0" fontId="1" fillId="5" borderId="0" xfId="1" applyFont="1" applyFill="1"/>
    <xf numFmtId="0" fontId="5" fillId="6" borderId="0" xfId="1" applyFont="1" applyFill="1" applyAlignment="1">
      <alignment horizontal="center" vertical="center"/>
    </xf>
    <xf numFmtId="0" fontId="5" fillId="6" borderId="0" xfId="1" applyFont="1" applyFill="1" applyAlignment="1">
      <alignment horizontal="left" vertical="center"/>
    </xf>
    <xf numFmtId="164" fontId="5" fillId="6" borderId="0" xfId="1" applyNumberFormat="1" applyFont="1" applyFill="1" applyAlignment="1">
      <alignment horizontal="left" vertical="center"/>
    </xf>
    <xf numFmtId="166" fontId="5" fillId="6" borderId="0" xfId="1" applyNumberFormat="1" applyFont="1" applyFill="1" applyAlignment="1">
      <alignment horizontal="left" vertical="center"/>
    </xf>
    <xf numFmtId="0" fontId="1" fillId="5" borderId="0" xfId="1" applyFont="1" applyFill="1" applyAlignment="1">
      <alignment horizontal="center"/>
    </xf>
    <xf numFmtId="164" fontId="5" fillId="6" borderId="0" xfId="1" applyNumberFormat="1" applyFont="1" applyFill="1" applyAlignment="1">
      <alignment horizontal="left"/>
    </xf>
    <xf numFmtId="164" fontId="5" fillId="6" borderId="0" xfId="1" applyNumberFormat="1" applyFont="1" applyFill="1" applyAlignment="1">
      <alignment horizontal="left"/>
    </xf>
    <xf numFmtId="164" fontId="4" fillId="8" borderId="0" xfId="1" applyNumberFormat="1" applyFont="1" applyFill="1" applyAlignment="1">
      <alignment horizontal="left"/>
    </xf>
    <xf numFmtId="165" fontId="5" fillId="6" borderId="0" xfId="1" applyNumberFormat="1" applyFont="1" applyFill="1" applyAlignment="1">
      <alignment horizontal="left"/>
    </xf>
    <xf numFmtId="165" fontId="4" fillId="8" borderId="0" xfId="1" applyNumberFormat="1" applyFont="1" applyFill="1" applyAlignment="1">
      <alignment horizontal="left"/>
    </xf>
  </cellXfs>
  <cellStyles count="2">
    <cellStyle name="Normal" xfId="1" xr:uid="{00000000-0005-0000-0000-000000000000}"/>
    <cellStyle name="Standard" xfId="0" builtinId="0"/>
  </cellStyles>
  <dxfs count="2">
    <dxf>
      <font>
        <color rgb="FF008000"/>
      </font>
      <fill>
        <patternFill patternType="solid">
          <bgColor rgb="FFE2F0D9"/>
        </patternFill>
      </fill>
    </dxf>
    <dxf>
      <font>
        <color rgb="FFC00000"/>
      </font>
      <fill>
        <patternFill patternType="solid">
          <bgColor rgb="FFFCE4D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c:style val="2"/>
  <c:chart>
    <c:title>
      <c:tx>
        <c:rich>
          <a:bodyPr/>
          <a:lstStyle/>
          <a:p>
            <a:r>
              <a:rPr lang="de-DE"/>
              <a:t>Break-even: Umsatz, Kosten und Gewinnschwelle</a:t>
            </a:r>
          </a:p>
        </c:rich>
      </c:tx>
      <c:overlay val="0"/>
    </c:title>
    <c:autoTitleDeleted val="0"/>
    <c:plotArea>
      <c:layout/>
      <c:lineChart>
        <c:grouping val="standard"/>
        <c:varyColors val="1"/>
        <c:ser>
          <c:idx val="0"/>
          <c:order val="0"/>
          <c:tx>
            <c:v>Fixkosten</c:v>
          </c:tx>
          <c:cat>
            <c:numRef>
              <c:f>'Break-even'!$B$42:$B$65</c:f>
              <c:numCache>
                <c:formatCode>General</c:formatCode>
                <c:ptCount val="24"/>
                <c:pt idx="0">
                  <c:v>0</c:v>
                </c:pt>
                <c:pt idx="1">
                  <c:v>14</c:v>
                </c:pt>
                <c:pt idx="2">
                  <c:v>27</c:v>
                </c:pt>
                <c:pt idx="3">
                  <c:v>40</c:v>
                </c:pt>
                <c:pt idx="4">
                  <c:v>53</c:v>
                </c:pt>
                <c:pt idx="5">
                  <c:v>66</c:v>
                </c:pt>
                <c:pt idx="6">
                  <c:v>79</c:v>
                </c:pt>
                <c:pt idx="7">
                  <c:v>92</c:v>
                </c:pt>
                <c:pt idx="8">
                  <c:v>105</c:v>
                </c:pt>
                <c:pt idx="9">
                  <c:v>118</c:v>
                </c:pt>
                <c:pt idx="10">
                  <c:v>131</c:v>
                </c:pt>
                <c:pt idx="11">
                  <c:v>144</c:v>
                </c:pt>
                <c:pt idx="12">
                  <c:v>157</c:v>
                </c:pt>
                <c:pt idx="13">
                  <c:v>170</c:v>
                </c:pt>
                <c:pt idx="14">
                  <c:v>183</c:v>
                </c:pt>
                <c:pt idx="15">
                  <c:v>196</c:v>
                </c:pt>
                <c:pt idx="16">
                  <c:v>209</c:v>
                </c:pt>
                <c:pt idx="17">
                  <c:v>222</c:v>
                </c:pt>
                <c:pt idx="18">
                  <c:v>235</c:v>
                </c:pt>
                <c:pt idx="19">
                  <c:v>248</c:v>
                </c:pt>
                <c:pt idx="20">
                  <c:v>261</c:v>
                </c:pt>
                <c:pt idx="21">
                  <c:v>274</c:v>
                </c:pt>
                <c:pt idx="22">
                  <c:v>287</c:v>
                </c:pt>
                <c:pt idx="23">
                  <c:v>300</c:v>
                </c:pt>
              </c:numCache>
            </c:numRef>
          </c:cat>
          <c:val>
            <c:numRef>
              <c:f>'Break-even'!$C$42:$C$65</c:f>
              <c:numCache>
                <c:formatCode>General</c:formatCode>
                <c:ptCount val="24"/>
                <c:pt idx="0">
                  <c:v>10450</c:v>
                </c:pt>
                <c:pt idx="1">
                  <c:v>10450</c:v>
                </c:pt>
                <c:pt idx="2">
                  <c:v>10450</c:v>
                </c:pt>
                <c:pt idx="3">
                  <c:v>10450</c:v>
                </c:pt>
                <c:pt idx="4">
                  <c:v>10450</c:v>
                </c:pt>
                <c:pt idx="5">
                  <c:v>10450</c:v>
                </c:pt>
                <c:pt idx="6">
                  <c:v>10450</c:v>
                </c:pt>
                <c:pt idx="7">
                  <c:v>10450</c:v>
                </c:pt>
                <c:pt idx="8">
                  <c:v>10450</c:v>
                </c:pt>
                <c:pt idx="9">
                  <c:v>10450</c:v>
                </c:pt>
                <c:pt idx="10">
                  <c:v>10450</c:v>
                </c:pt>
                <c:pt idx="11">
                  <c:v>10450</c:v>
                </c:pt>
                <c:pt idx="12">
                  <c:v>10450</c:v>
                </c:pt>
                <c:pt idx="13">
                  <c:v>10450</c:v>
                </c:pt>
                <c:pt idx="14">
                  <c:v>10450</c:v>
                </c:pt>
                <c:pt idx="15">
                  <c:v>10450</c:v>
                </c:pt>
                <c:pt idx="16">
                  <c:v>10450</c:v>
                </c:pt>
                <c:pt idx="17">
                  <c:v>10450</c:v>
                </c:pt>
                <c:pt idx="18">
                  <c:v>10450</c:v>
                </c:pt>
                <c:pt idx="19">
                  <c:v>10450</c:v>
                </c:pt>
                <c:pt idx="20">
                  <c:v>10450</c:v>
                </c:pt>
                <c:pt idx="21">
                  <c:v>10450</c:v>
                </c:pt>
                <c:pt idx="22">
                  <c:v>10450</c:v>
                </c:pt>
                <c:pt idx="23">
                  <c:v>10450</c:v>
                </c:pt>
              </c:numCache>
            </c:numRef>
          </c:val>
          <c:smooth val="0"/>
          <c:extLst>
            <c:ext xmlns:c16="http://schemas.microsoft.com/office/drawing/2014/chart" uri="{C3380CC4-5D6E-409C-BE32-E72D297353CC}">
              <c16:uniqueId val="{00000000-C4A4-4CA5-BEE4-17E287D4537E}"/>
            </c:ext>
          </c:extLst>
        </c:ser>
        <c:ser>
          <c:idx val="1"/>
          <c:order val="1"/>
          <c:tx>
            <c:v>Variable Kosten</c:v>
          </c:tx>
          <c:cat>
            <c:numRef>
              <c:f>'Break-even'!$B$42:$B$65</c:f>
              <c:numCache>
                <c:formatCode>General</c:formatCode>
                <c:ptCount val="24"/>
                <c:pt idx="0">
                  <c:v>0</c:v>
                </c:pt>
                <c:pt idx="1">
                  <c:v>14</c:v>
                </c:pt>
                <c:pt idx="2">
                  <c:v>27</c:v>
                </c:pt>
                <c:pt idx="3">
                  <c:v>40</c:v>
                </c:pt>
                <c:pt idx="4">
                  <c:v>53</c:v>
                </c:pt>
                <c:pt idx="5">
                  <c:v>66</c:v>
                </c:pt>
                <c:pt idx="6">
                  <c:v>79</c:v>
                </c:pt>
                <c:pt idx="7">
                  <c:v>92</c:v>
                </c:pt>
                <c:pt idx="8">
                  <c:v>105</c:v>
                </c:pt>
                <c:pt idx="9">
                  <c:v>118</c:v>
                </c:pt>
                <c:pt idx="10">
                  <c:v>131</c:v>
                </c:pt>
                <c:pt idx="11">
                  <c:v>144</c:v>
                </c:pt>
                <c:pt idx="12">
                  <c:v>157</c:v>
                </c:pt>
                <c:pt idx="13">
                  <c:v>170</c:v>
                </c:pt>
                <c:pt idx="14">
                  <c:v>183</c:v>
                </c:pt>
                <c:pt idx="15">
                  <c:v>196</c:v>
                </c:pt>
                <c:pt idx="16">
                  <c:v>209</c:v>
                </c:pt>
                <c:pt idx="17">
                  <c:v>222</c:v>
                </c:pt>
                <c:pt idx="18">
                  <c:v>235</c:v>
                </c:pt>
                <c:pt idx="19">
                  <c:v>248</c:v>
                </c:pt>
                <c:pt idx="20">
                  <c:v>261</c:v>
                </c:pt>
                <c:pt idx="21">
                  <c:v>274</c:v>
                </c:pt>
                <c:pt idx="22">
                  <c:v>287</c:v>
                </c:pt>
                <c:pt idx="23">
                  <c:v>300</c:v>
                </c:pt>
              </c:numCache>
            </c:numRef>
          </c:cat>
          <c:val>
            <c:numRef>
              <c:f>'Break-even'!$D$42:$D$65</c:f>
              <c:numCache>
                <c:formatCode>General</c:formatCode>
                <c:ptCount val="24"/>
                <c:pt idx="0">
                  <c:v>0</c:v>
                </c:pt>
                <c:pt idx="1">
                  <c:v>559.99999999999989</c:v>
                </c:pt>
                <c:pt idx="2">
                  <c:v>1079.9999999999998</c:v>
                </c:pt>
                <c:pt idx="3">
                  <c:v>1599.9999999999998</c:v>
                </c:pt>
                <c:pt idx="4">
                  <c:v>2119.9999999999995</c:v>
                </c:pt>
                <c:pt idx="5">
                  <c:v>2639.9999999999995</c:v>
                </c:pt>
                <c:pt idx="6">
                  <c:v>3159.9999999999995</c:v>
                </c:pt>
                <c:pt idx="7">
                  <c:v>3679.9999999999995</c:v>
                </c:pt>
                <c:pt idx="8">
                  <c:v>4199.9999999999991</c:v>
                </c:pt>
                <c:pt idx="9">
                  <c:v>4719.9999999999991</c:v>
                </c:pt>
                <c:pt idx="10">
                  <c:v>5239.9999999999991</c:v>
                </c:pt>
                <c:pt idx="11">
                  <c:v>5759.9999999999991</c:v>
                </c:pt>
                <c:pt idx="12">
                  <c:v>6279.9999999999991</c:v>
                </c:pt>
                <c:pt idx="13">
                  <c:v>6799.9999999999991</c:v>
                </c:pt>
                <c:pt idx="14">
                  <c:v>7319.9999999999991</c:v>
                </c:pt>
                <c:pt idx="15">
                  <c:v>7839.9999999999982</c:v>
                </c:pt>
                <c:pt idx="16">
                  <c:v>8359.9999999999982</c:v>
                </c:pt>
                <c:pt idx="17">
                  <c:v>8879.9999999999982</c:v>
                </c:pt>
                <c:pt idx="18">
                  <c:v>9399.9999999999982</c:v>
                </c:pt>
                <c:pt idx="19">
                  <c:v>9919.9999999999982</c:v>
                </c:pt>
                <c:pt idx="20">
                  <c:v>10439.999999999998</c:v>
                </c:pt>
                <c:pt idx="21">
                  <c:v>10959.999999999998</c:v>
                </c:pt>
                <c:pt idx="22">
                  <c:v>11479.999999999998</c:v>
                </c:pt>
                <c:pt idx="23">
                  <c:v>11999.999999999998</c:v>
                </c:pt>
              </c:numCache>
            </c:numRef>
          </c:val>
          <c:smooth val="0"/>
          <c:extLst>
            <c:ext xmlns:c16="http://schemas.microsoft.com/office/drawing/2014/chart" uri="{C3380CC4-5D6E-409C-BE32-E72D297353CC}">
              <c16:uniqueId val="{00000001-C4A4-4CA5-BEE4-17E287D4537E}"/>
            </c:ext>
          </c:extLst>
        </c:ser>
        <c:ser>
          <c:idx val="2"/>
          <c:order val="2"/>
          <c:tx>
            <c:v>Gesamtkosten</c:v>
          </c:tx>
          <c:cat>
            <c:numRef>
              <c:f>'Break-even'!$B$42:$B$65</c:f>
              <c:numCache>
                <c:formatCode>General</c:formatCode>
                <c:ptCount val="24"/>
                <c:pt idx="0">
                  <c:v>0</c:v>
                </c:pt>
                <c:pt idx="1">
                  <c:v>14</c:v>
                </c:pt>
                <c:pt idx="2">
                  <c:v>27</c:v>
                </c:pt>
                <c:pt idx="3">
                  <c:v>40</c:v>
                </c:pt>
                <c:pt idx="4">
                  <c:v>53</c:v>
                </c:pt>
                <c:pt idx="5">
                  <c:v>66</c:v>
                </c:pt>
                <c:pt idx="6">
                  <c:v>79</c:v>
                </c:pt>
                <c:pt idx="7">
                  <c:v>92</c:v>
                </c:pt>
                <c:pt idx="8">
                  <c:v>105</c:v>
                </c:pt>
                <c:pt idx="9">
                  <c:v>118</c:v>
                </c:pt>
                <c:pt idx="10">
                  <c:v>131</c:v>
                </c:pt>
                <c:pt idx="11">
                  <c:v>144</c:v>
                </c:pt>
                <c:pt idx="12">
                  <c:v>157</c:v>
                </c:pt>
                <c:pt idx="13">
                  <c:v>170</c:v>
                </c:pt>
                <c:pt idx="14">
                  <c:v>183</c:v>
                </c:pt>
                <c:pt idx="15">
                  <c:v>196</c:v>
                </c:pt>
                <c:pt idx="16">
                  <c:v>209</c:v>
                </c:pt>
                <c:pt idx="17">
                  <c:v>222</c:v>
                </c:pt>
                <c:pt idx="18">
                  <c:v>235</c:v>
                </c:pt>
                <c:pt idx="19">
                  <c:v>248</c:v>
                </c:pt>
                <c:pt idx="20">
                  <c:v>261</c:v>
                </c:pt>
                <c:pt idx="21">
                  <c:v>274</c:v>
                </c:pt>
                <c:pt idx="22">
                  <c:v>287</c:v>
                </c:pt>
                <c:pt idx="23">
                  <c:v>300</c:v>
                </c:pt>
              </c:numCache>
            </c:numRef>
          </c:cat>
          <c:val>
            <c:numRef>
              <c:f>'Break-even'!$E$42:$E$65</c:f>
              <c:numCache>
                <c:formatCode>General</c:formatCode>
                <c:ptCount val="24"/>
                <c:pt idx="0">
                  <c:v>10450</c:v>
                </c:pt>
                <c:pt idx="1">
                  <c:v>11010</c:v>
                </c:pt>
                <c:pt idx="2">
                  <c:v>11530</c:v>
                </c:pt>
                <c:pt idx="3">
                  <c:v>12050</c:v>
                </c:pt>
                <c:pt idx="4">
                  <c:v>12570</c:v>
                </c:pt>
                <c:pt idx="5">
                  <c:v>13090</c:v>
                </c:pt>
                <c:pt idx="6">
                  <c:v>13610</c:v>
                </c:pt>
                <c:pt idx="7">
                  <c:v>14130</c:v>
                </c:pt>
                <c:pt idx="8">
                  <c:v>14650</c:v>
                </c:pt>
                <c:pt idx="9">
                  <c:v>15170</c:v>
                </c:pt>
                <c:pt idx="10">
                  <c:v>15690</c:v>
                </c:pt>
                <c:pt idx="11">
                  <c:v>16210</c:v>
                </c:pt>
                <c:pt idx="12">
                  <c:v>16730</c:v>
                </c:pt>
                <c:pt idx="13">
                  <c:v>17250</c:v>
                </c:pt>
                <c:pt idx="14">
                  <c:v>17770</c:v>
                </c:pt>
                <c:pt idx="15">
                  <c:v>18290</c:v>
                </c:pt>
                <c:pt idx="16">
                  <c:v>18810</c:v>
                </c:pt>
                <c:pt idx="17">
                  <c:v>19330</c:v>
                </c:pt>
                <c:pt idx="18">
                  <c:v>19850</c:v>
                </c:pt>
                <c:pt idx="19">
                  <c:v>20370</c:v>
                </c:pt>
                <c:pt idx="20">
                  <c:v>20890</c:v>
                </c:pt>
                <c:pt idx="21">
                  <c:v>21410</c:v>
                </c:pt>
                <c:pt idx="22">
                  <c:v>21930</c:v>
                </c:pt>
                <c:pt idx="23">
                  <c:v>22450</c:v>
                </c:pt>
              </c:numCache>
            </c:numRef>
          </c:val>
          <c:smooth val="0"/>
          <c:extLst>
            <c:ext xmlns:c16="http://schemas.microsoft.com/office/drawing/2014/chart" uri="{C3380CC4-5D6E-409C-BE32-E72D297353CC}">
              <c16:uniqueId val="{00000002-C4A4-4CA5-BEE4-17E287D4537E}"/>
            </c:ext>
          </c:extLst>
        </c:ser>
        <c:ser>
          <c:idx val="3"/>
          <c:order val="3"/>
          <c:tx>
            <c:v>Umsatz</c:v>
          </c:tx>
          <c:cat>
            <c:numRef>
              <c:f>'Break-even'!$B$42:$B$65</c:f>
              <c:numCache>
                <c:formatCode>General</c:formatCode>
                <c:ptCount val="24"/>
                <c:pt idx="0">
                  <c:v>0</c:v>
                </c:pt>
                <c:pt idx="1">
                  <c:v>14</c:v>
                </c:pt>
                <c:pt idx="2">
                  <c:v>27</c:v>
                </c:pt>
                <c:pt idx="3">
                  <c:v>40</c:v>
                </c:pt>
                <c:pt idx="4">
                  <c:v>53</c:v>
                </c:pt>
                <c:pt idx="5">
                  <c:v>66</c:v>
                </c:pt>
                <c:pt idx="6">
                  <c:v>79</c:v>
                </c:pt>
                <c:pt idx="7">
                  <c:v>92</c:v>
                </c:pt>
                <c:pt idx="8">
                  <c:v>105</c:v>
                </c:pt>
                <c:pt idx="9">
                  <c:v>118</c:v>
                </c:pt>
                <c:pt idx="10">
                  <c:v>131</c:v>
                </c:pt>
                <c:pt idx="11">
                  <c:v>144</c:v>
                </c:pt>
                <c:pt idx="12">
                  <c:v>157</c:v>
                </c:pt>
                <c:pt idx="13">
                  <c:v>170</c:v>
                </c:pt>
                <c:pt idx="14">
                  <c:v>183</c:v>
                </c:pt>
                <c:pt idx="15">
                  <c:v>196</c:v>
                </c:pt>
                <c:pt idx="16">
                  <c:v>209</c:v>
                </c:pt>
                <c:pt idx="17">
                  <c:v>222</c:v>
                </c:pt>
                <c:pt idx="18">
                  <c:v>235</c:v>
                </c:pt>
                <c:pt idx="19">
                  <c:v>248</c:v>
                </c:pt>
                <c:pt idx="20">
                  <c:v>261</c:v>
                </c:pt>
                <c:pt idx="21">
                  <c:v>274</c:v>
                </c:pt>
                <c:pt idx="22">
                  <c:v>287</c:v>
                </c:pt>
                <c:pt idx="23">
                  <c:v>300</c:v>
                </c:pt>
              </c:numCache>
            </c:numRef>
          </c:cat>
          <c:val>
            <c:numRef>
              <c:f>'Break-even'!$F$42:$F$65</c:f>
              <c:numCache>
                <c:formatCode>General</c:formatCode>
                <c:ptCount val="24"/>
                <c:pt idx="0">
                  <c:v>0</c:v>
                </c:pt>
                <c:pt idx="1">
                  <c:v>1806</c:v>
                </c:pt>
                <c:pt idx="2">
                  <c:v>3483</c:v>
                </c:pt>
                <c:pt idx="3">
                  <c:v>5160</c:v>
                </c:pt>
                <c:pt idx="4">
                  <c:v>6837</c:v>
                </c:pt>
                <c:pt idx="5">
                  <c:v>8514</c:v>
                </c:pt>
                <c:pt idx="6">
                  <c:v>10191</c:v>
                </c:pt>
                <c:pt idx="7">
                  <c:v>11868</c:v>
                </c:pt>
                <c:pt idx="8">
                  <c:v>13545</c:v>
                </c:pt>
                <c:pt idx="9">
                  <c:v>15222</c:v>
                </c:pt>
                <c:pt idx="10">
                  <c:v>16899</c:v>
                </c:pt>
                <c:pt idx="11">
                  <c:v>18576</c:v>
                </c:pt>
                <c:pt idx="12">
                  <c:v>20253</c:v>
                </c:pt>
                <c:pt idx="13">
                  <c:v>21930</c:v>
                </c:pt>
                <c:pt idx="14">
                  <c:v>23607</c:v>
                </c:pt>
                <c:pt idx="15">
                  <c:v>25284</c:v>
                </c:pt>
                <c:pt idx="16">
                  <c:v>26961</c:v>
                </c:pt>
                <c:pt idx="17">
                  <c:v>28638</c:v>
                </c:pt>
                <c:pt idx="18">
                  <c:v>30315</c:v>
                </c:pt>
                <c:pt idx="19">
                  <c:v>31992</c:v>
                </c:pt>
                <c:pt idx="20">
                  <c:v>33669</c:v>
                </c:pt>
                <c:pt idx="21">
                  <c:v>35346</c:v>
                </c:pt>
                <c:pt idx="22">
                  <c:v>37023</c:v>
                </c:pt>
                <c:pt idx="23">
                  <c:v>38700</c:v>
                </c:pt>
              </c:numCache>
            </c:numRef>
          </c:val>
          <c:smooth val="0"/>
          <c:extLst>
            <c:ext xmlns:c16="http://schemas.microsoft.com/office/drawing/2014/chart" uri="{C3380CC4-5D6E-409C-BE32-E72D297353CC}">
              <c16:uniqueId val="{00000003-C4A4-4CA5-BEE4-17E287D4537E}"/>
            </c:ext>
          </c:extLst>
        </c:ser>
        <c:dLbls>
          <c:showLegendKey val="0"/>
          <c:showVal val="0"/>
          <c:showCatName val="0"/>
          <c:showSerName val="0"/>
          <c:showPercent val="0"/>
          <c:showBubbleSize val="0"/>
        </c:dLbls>
        <c:marker val="1"/>
        <c:smooth val="0"/>
        <c:axId val="48650112"/>
        <c:axId val="48672768"/>
      </c:lineChart>
      <c:catAx>
        <c:axId val="48650112"/>
        <c:scaling>
          <c:orientation val="minMax"/>
        </c:scaling>
        <c:delete val="0"/>
        <c:axPos val="b"/>
        <c:majorGridlines>
          <c:spPr>
            <a:ln w="9525">
              <a:solidFill>
                <a:srgbClr val="CCCCCC"/>
              </a:solidFill>
              <a:prstDash val="dash"/>
            </a:ln>
          </c:spPr>
        </c:majorGridlines>
        <c:title>
          <c:tx>
            <c:rich>
              <a:bodyPr/>
              <a:lstStyle/>
              <a:p>
                <a:r>
                  <a:rPr lang="de-DE"/>
                  <a:t>Menge</a:t>
                </a:r>
              </a:p>
            </c:rich>
          </c:tx>
          <c:overlay val="0"/>
        </c:title>
        <c:numFmt formatCode="#,##0" sourceLinked="0"/>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E5E7EB"/>
              </a:solidFill>
              <a:prstDash val="solid"/>
            </a:ln>
          </c:spPr>
        </c:majorGridlines>
        <c:numFmt formatCode="#,##0\ \€" sourceLinked="0"/>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39</xdr:row>
      <xdr:rowOff>0</xdr:rowOff>
    </xdr:from>
    <xdr:to>
      <xdr:col>14</xdr:col>
      <xdr:colOff>0</xdr:colOff>
      <xdr:row>65</xdr:row>
      <xdr:rowOff>0</xdr:rowOff>
    </xdr:to>
    <xdr:graphicFrame macro="">
      <xdr:nvGraphicFramePr>
        <xdr:cNvPr id="2" name="Chart">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showGridLines="0" tabSelected="1" workbookViewId="0">
      <selection activeCell="F28" sqref="F28"/>
    </sheetView>
  </sheetViews>
  <sheetFormatPr baseColWidth="10" defaultColWidth="9" defaultRowHeight="15" x14ac:dyDescent="0.25"/>
  <cols>
    <col min="1" max="1" width="3" customWidth="1"/>
    <col min="2" max="2" width="20" customWidth="1"/>
    <col min="3" max="3" width="36" customWidth="1"/>
    <col min="4" max="4" width="18" customWidth="1"/>
    <col min="5" max="5" width="20.375" customWidth="1"/>
    <col min="6" max="6" width="14" customWidth="1"/>
    <col min="7" max="7" width="28" customWidth="1"/>
    <col min="8" max="11" width="16" customWidth="1"/>
    <col min="12" max="12" width="12" customWidth="1"/>
    <col min="13" max="14" width="14" customWidth="1"/>
  </cols>
  <sheetData>
    <row r="1" spans="1:14" ht="30" customHeight="1" x14ac:dyDescent="0.25">
      <c r="A1" s="22" t="s">
        <v>0</v>
      </c>
      <c r="B1" s="22"/>
      <c r="C1" s="22"/>
      <c r="D1" s="22"/>
      <c r="E1" s="22"/>
      <c r="F1" s="22"/>
      <c r="G1" s="22"/>
      <c r="H1" s="22"/>
      <c r="I1" s="22"/>
      <c r="J1" s="22"/>
      <c r="K1" s="22"/>
      <c r="L1" s="22"/>
      <c r="M1" s="22"/>
      <c r="N1" s="22"/>
    </row>
    <row r="2" spans="1:14" ht="21.95" customHeight="1" x14ac:dyDescent="0.25">
      <c r="A2" s="23" t="s">
        <v>1</v>
      </c>
      <c r="B2" s="23"/>
      <c r="C2" s="23"/>
      <c r="D2" s="23"/>
      <c r="E2" s="23"/>
      <c r="F2" s="23"/>
      <c r="G2" s="23"/>
      <c r="H2" s="23"/>
      <c r="I2" s="23"/>
      <c r="J2" s="23"/>
      <c r="K2" s="23"/>
      <c r="L2" s="23"/>
      <c r="M2" s="23"/>
      <c r="N2" s="23"/>
    </row>
    <row r="3" spans="1:14" x14ac:dyDescent="0.25">
      <c r="A3" s="1"/>
      <c r="B3" s="1"/>
      <c r="C3" s="1"/>
      <c r="D3" s="1"/>
      <c r="E3" s="1"/>
      <c r="F3" s="1"/>
      <c r="G3" s="1"/>
      <c r="H3" s="1"/>
      <c r="I3" s="1"/>
      <c r="J3" s="1"/>
      <c r="K3" s="1"/>
      <c r="L3" s="1"/>
      <c r="M3" s="1"/>
      <c r="N3" s="1"/>
    </row>
    <row r="4" spans="1:14" x14ac:dyDescent="0.25">
      <c r="A4" s="1"/>
      <c r="B4" s="26" t="s">
        <v>2</v>
      </c>
      <c r="C4" s="26"/>
      <c r="D4" s="26"/>
      <c r="E4" s="26" t="s">
        <v>3</v>
      </c>
      <c r="F4" s="26"/>
      <c r="G4" s="26"/>
      <c r="H4" s="26" t="s">
        <v>4</v>
      </c>
      <c r="I4" s="26"/>
      <c r="J4" s="26"/>
      <c r="K4" s="26" t="s">
        <v>5</v>
      </c>
      <c r="L4" s="26"/>
      <c r="M4" s="26"/>
      <c r="N4" s="1"/>
    </row>
    <row r="5" spans="1:14" ht="30" customHeight="1" x14ac:dyDescent="0.25">
      <c r="A5" s="1"/>
      <c r="B5" s="27">
        <f>H22</f>
        <v>118</v>
      </c>
      <c r="C5" s="27"/>
      <c r="D5" s="27"/>
      <c r="E5" s="29">
        <f>H23</f>
        <v>15222</v>
      </c>
      <c r="F5" s="29"/>
      <c r="G5" s="29"/>
      <c r="H5" s="29">
        <f>H26</f>
        <v>6015</v>
      </c>
      <c r="I5" s="29"/>
      <c r="J5" s="29"/>
      <c r="K5" s="30">
        <f>H28</f>
        <v>0.36216216216216218</v>
      </c>
      <c r="L5" s="30"/>
      <c r="M5" s="30"/>
      <c r="N5" s="1"/>
    </row>
    <row r="6" spans="1:14" x14ac:dyDescent="0.25">
      <c r="A6" s="1"/>
      <c r="B6" s="28" t="str">
        <f>$D$11</f>
        <v>Teilnehmer</v>
      </c>
      <c r="C6" s="28"/>
      <c r="D6" s="28"/>
      <c r="E6" s="28" t="s">
        <v>6</v>
      </c>
      <c r="F6" s="28"/>
      <c r="G6" s="28"/>
      <c r="H6" s="28" t="s">
        <v>7</v>
      </c>
      <c r="I6" s="28"/>
      <c r="J6" s="28"/>
      <c r="K6" s="28" t="s">
        <v>8</v>
      </c>
      <c r="L6" s="28"/>
      <c r="M6" s="28"/>
      <c r="N6" s="1"/>
    </row>
    <row r="7" spans="1:14" x14ac:dyDescent="0.25">
      <c r="A7" s="1"/>
      <c r="B7" s="1"/>
      <c r="C7" s="1"/>
      <c r="D7" s="1"/>
      <c r="E7" s="1"/>
      <c r="F7" s="1"/>
      <c r="G7" s="1"/>
      <c r="H7" s="1"/>
      <c r="I7" s="1"/>
      <c r="J7" s="1"/>
      <c r="K7" s="1"/>
      <c r="L7" s="1"/>
      <c r="M7" s="1"/>
      <c r="N7" s="1"/>
    </row>
    <row r="8" spans="1:14" x14ac:dyDescent="0.25">
      <c r="A8" s="1"/>
      <c r="B8" s="24" t="s">
        <v>9</v>
      </c>
      <c r="C8" s="24"/>
      <c r="D8" s="24"/>
      <c r="E8" s="24"/>
      <c r="F8" s="1"/>
      <c r="G8" s="25" t="s">
        <v>10</v>
      </c>
      <c r="H8" s="25"/>
      <c r="I8" s="25"/>
      <c r="J8" s="25"/>
      <c r="K8" s="25"/>
      <c r="L8" s="1"/>
      <c r="M8" s="1"/>
      <c r="N8" s="1"/>
    </row>
    <row r="9" spans="1:14" x14ac:dyDescent="0.25">
      <c r="A9" s="1"/>
      <c r="B9" s="2" t="s">
        <v>11</v>
      </c>
      <c r="C9" s="2"/>
      <c r="D9" s="35" t="s">
        <v>12</v>
      </c>
      <c r="E9" s="35"/>
      <c r="F9" s="1"/>
      <c r="G9" s="3" t="s">
        <v>13</v>
      </c>
      <c r="H9" s="3" t="s">
        <v>14</v>
      </c>
      <c r="I9" s="3" t="s">
        <v>15</v>
      </c>
      <c r="J9" s="3" t="s">
        <v>16</v>
      </c>
      <c r="K9" s="3" t="s">
        <v>17</v>
      </c>
      <c r="L9" s="1"/>
      <c r="M9" s="1"/>
      <c r="N9" s="1"/>
    </row>
    <row r="10" spans="1:14" x14ac:dyDescent="0.25">
      <c r="A10" s="1"/>
      <c r="B10" s="2" t="s">
        <v>18</v>
      </c>
      <c r="C10" s="2"/>
      <c r="D10" s="36" t="s">
        <v>19</v>
      </c>
      <c r="E10" s="36"/>
      <c r="F10" s="1"/>
      <c r="G10" s="4" t="s">
        <v>20</v>
      </c>
      <c r="H10" s="5">
        <v>0</v>
      </c>
      <c r="I10" s="5">
        <v>0</v>
      </c>
      <c r="J10" s="5">
        <v>0</v>
      </c>
      <c r="K10" s="5">
        <v>0</v>
      </c>
      <c r="L10" s="1"/>
      <c r="M10" s="1"/>
      <c r="N10" s="1"/>
    </row>
    <row r="11" spans="1:14" x14ac:dyDescent="0.25">
      <c r="A11" s="1"/>
      <c r="B11" s="2" t="s">
        <v>21</v>
      </c>
      <c r="C11" s="2"/>
      <c r="D11" s="36" t="s">
        <v>22</v>
      </c>
      <c r="E11" s="36"/>
      <c r="F11" s="1"/>
      <c r="G11" s="4" t="s">
        <v>23</v>
      </c>
      <c r="H11" s="5">
        <v>-0.1</v>
      </c>
      <c r="I11" s="5">
        <v>-0.2</v>
      </c>
      <c r="J11" s="5">
        <v>0.08</v>
      </c>
      <c r="K11" s="5">
        <v>0.06</v>
      </c>
      <c r="L11" s="1"/>
      <c r="M11" s="1"/>
      <c r="N11" s="1"/>
    </row>
    <row r="12" spans="1:14" x14ac:dyDescent="0.25">
      <c r="A12" s="1"/>
      <c r="B12" s="2" t="s">
        <v>24</v>
      </c>
      <c r="C12" s="2"/>
      <c r="D12" s="36" t="s">
        <v>20</v>
      </c>
      <c r="E12" s="36"/>
      <c r="F12" s="1"/>
      <c r="G12" s="4" t="s">
        <v>25</v>
      </c>
      <c r="H12" s="5">
        <v>0.12</v>
      </c>
      <c r="I12" s="5">
        <v>0.25</v>
      </c>
      <c r="J12" s="5">
        <v>-0.03</v>
      </c>
      <c r="K12" s="5">
        <v>-0.05</v>
      </c>
      <c r="L12" s="1"/>
      <c r="M12" s="1"/>
      <c r="N12" s="1"/>
    </row>
    <row r="13" spans="1:14" x14ac:dyDescent="0.25">
      <c r="A13" s="1"/>
      <c r="B13" s="2" t="s">
        <v>26</v>
      </c>
      <c r="C13" s="2"/>
      <c r="D13" s="37">
        <v>129</v>
      </c>
      <c r="E13" s="37"/>
      <c r="F13" s="1"/>
      <c r="G13" s="4" t="s">
        <v>27</v>
      </c>
      <c r="H13" s="5">
        <v>0</v>
      </c>
      <c r="I13" s="5">
        <v>0</v>
      </c>
      <c r="J13" s="5">
        <v>0</v>
      </c>
      <c r="K13" s="5">
        <v>0</v>
      </c>
      <c r="L13" s="1"/>
      <c r="M13" s="1"/>
      <c r="N13" s="1"/>
    </row>
    <row r="14" spans="1:14" x14ac:dyDescent="0.25">
      <c r="A14" s="1"/>
      <c r="B14" s="2" t="s">
        <v>28</v>
      </c>
      <c r="C14" s="2"/>
      <c r="D14" s="38">
        <v>185</v>
      </c>
      <c r="E14" s="38"/>
      <c r="F14" s="1"/>
      <c r="G14" s="1"/>
      <c r="H14" s="1"/>
      <c r="I14" s="1"/>
      <c r="J14" s="1"/>
      <c r="K14" s="1"/>
      <c r="L14" s="1"/>
      <c r="M14" s="1"/>
      <c r="N14" s="1"/>
    </row>
    <row r="15" spans="1:14" x14ac:dyDescent="0.25">
      <c r="A15" s="1"/>
      <c r="B15" s="2" t="s">
        <v>29</v>
      </c>
      <c r="C15" s="2"/>
      <c r="D15" s="38">
        <v>300</v>
      </c>
      <c r="E15" s="38"/>
      <c r="F15" s="1"/>
      <c r="G15" s="25" t="s">
        <v>30</v>
      </c>
      <c r="H15" s="25"/>
      <c r="I15" s="25"/>
      <c r="J15" s="25"/>
      <c r="K15" s="25"/>
      <c r="L15" s="1"/>
      <c r="M15" s="1"/>
      <c r="N15" s="1"/>
    </row>
    <row r="16" spans="1:14" x14ac:dyDescent="0.25">
      <c r="A16" s="1"/>
      <c r="B16" s="2" t="s">
        <v>31</v>
      </c>
      <c r="C16" s="2"/>
      <c r="D16" s="37">
        <v>8000</v>
      </c>
      <c r="E16" s="37"/>
      <c r="F16" s="1"/>
      <c r="G16" s="6" t="s">
        <v>32</v>
      </c>
      <c r="H16" s="7">
        <f>D13*(1+INDEX($H$10:$H$13,MATCH($D$12,$G$10:$G$13,0)))</f>
        <v>129</v>
      </c>
      <c r="I16" s="1"/>
      <c r="J16" s="1"/>
      <c r="K16" s="1"/>
      <c r="L16" s="1"/>
      <c r="M16" s="1"/>
      <c r="N16" s="1"/>
    </row>
    <row r="17" spans="1:14" x14ac:dyDescent="0.25">
      <c r="A17" s="1"/>
      <c r="B17" s="2" t="s">
        <v>33</v>
      </c>
      <c r="C17" s="2"/>
      <c r="D17" s="38">
        <v>24</v>
      </c>
      <c r="E17" s="38"/>
      <c r="F17" s="1"/>
      <c r="G17" s="6" t="s">
        <v>34</v>
      </c>
      <c r="H17" s="8">
        <f>ROUND(D14*(1+INDEX($I$10:$I$13,MATCH($D$12,$G$10:$G$13,0))),0)</f>
        <v>185</v>
      </c>
      <c r="I17" s="1"/>
      <c r="J17" s="1"/>
      <c r="K17" s="1"/>
      <c r="L17" s="1"/>
      <c r="M17" s="1"/>
      <c r="N17" s="1"/>
    </row>
    <row r="18" spans="1:14" x14ac:dyDescent="0.25">
      <c r="A18" s="1"/>
      <c r="B18" s="1"/>
      <c r="C18" s="1"/>
      <c r="D18" s="1"/>
      <c r="E18" s="1"/>
      <c r="F18" s="1"/>
      <c r="G18" s="6" t="s">
        <v>35</v>
      </c>
      <c r="H18" s="7">
        <f>D27*(1+INDEX($J$10:$J$13,MATCH($D$12,$G$10:$G$13,0)))</f>
        <v>10450</v>
      </c>
      <c r="I18" s="1"/>
      <c r="J18" s="1"/>
      <c r="K18" s="1"/>
      <c r="L18" s="1"/>
      <c r="M18" s="1"/>
      <c r="N18" s="1"/>
    </row>
    <row r="19" spans="1:14" x14ac:dyDescent="0.25">
      <c r="A19" s="1"/>
      <c r="B19" s="25" t="s">
        <v>36</v>
      </c>
      <c r="C19" s="25"/>
      <c r="D19" s="25"/>
      <c r="E19" s="25"/>
      <c r="F19" s="1"/>
      <c r="G19" s="6" t="s">
        <v>37</v>
      </c>
      <c r="H19" s="7">
        <f>D37*(1+INDEX($K$10:$K$13,MATCH($D$12,$G$10:$G$13,0)))</f>
        <v>39.999999999999993</v>
      </c>
      <c r="I19" s="1"/>
      <c r="J19" s="1"/>
      <c r="K19" s="1"/>
      <c r="L19" s="1"/>
      <c r="M19" s="1"/>
      <c r="N19" s="1"/>
    </row>
    <row r="20" spans="1:14" x14ac:dyDescent="0.25">
      <c r="A20" s="1"/>
      <c r="B20" s="3" t="s">
        <v>38</v>
      </c>
      <c r="C20" s="3" t="s">
        <v>39</v>
      </c>
      <c r="D20" s="39" t="s">
        <v>40</v>
      </c>
      <c r="E20" s="39"/>
      <c r="F20" s="1"/>
      <c r="G20" s="6" t="s">
        <v>41</v>
      </c>
      <c r="H20" s="7">
        <f>H16-H19</f>
        <v>89</v>
      </c>
      <c r="I20" s="1"/>
      <c r="J20" s="1"/>
      <c r="K20" s="1"/>
      <c r="L20" s="1"/>
      <c r="M20" s="1"/>
      <c r="N20" s="1"/>
    </row>
    <row r="21" spans="1:14" ht="21.95" customHeight="1" x14ac:dyDescent="0.25">
      <c r="A21" s="1"/>
      <c r="B21" s="9" t="s">
        <v>42</v>
      </c>
      <c r="C21" s="9" t="s">
        <v>43</v>
      </c>
      <c r="D21" s="41">
        <v>1450</v>
      </c>
      <c r="E21" s="41"/>
      <c r="F21" s="1"/>
      <c r="G21" s="6" t="s">
        <v>44</v>
      </c>
      <c r="H21" s="10">
        <f>IFERROR(H20/H16,0)</f>
        <v>0.68992248062015504</v>
      </c>
      <c r="I21" s="1"/>
      <c r="J21" s="1"/>
      <c r="K21" s="1"/>
      <c r="L21" s="1"/>
      <c r="M21" s="1"/>
      <c r="N21" s="1"/>
    </row>
    <row r="22" spans="1:14" ht="21.95" customHeight="1" x14ac:dyDescent="0.25">
      <c r="A22" s="1"/>
      <c r="B22" s="9" t="s">
        <v>45</v>
      </c>
      <c r="C22" s="9" t="s">
        <v>46</v>
      </c>
      <c r="D22" s="41">
        <v>2200</v>
      </c>
      <c r="E22" s="41"/>
      <c r="F22" s="1"/>
      <c r="G22" s="6" t="s">
        <v>2</v>
      </c>
      <c r="H22" s="8">
        <f>IF($H$20&lt;=0,"",ROUNDUP($H$18/$H$20,0))</f>
        <v>118</v>
      </c>
      <c r="I22" s="1"/>
      <c r="J22" s="1"/>
      <c r="K22" s="1"/>
      <c r="L22" s="1"/>
      <c r="M22" s="1"/>
      <c r="N22" s="1"/>
    </row>
    <row r="23" spans="1:14" ht="21.95" customHeight="1" x14ac:dyDescent="0.25">
      <c r="A23" s="1"/>
      <c r="B23" s="9" t="s">
        <v>47</v>
      </c>
      <c r="C23" s="9" t="s">
        <v>48</v>
      </c>
      <c r="D23" s="41">
        <v>3600</v>
      </c>
      <c r="E23" s="41"/>
      <c r="F23" s="1"/>
      <c r="G23" s="6" t="s">
        <v>3</v>
      </c>
      <c r="H23" s="7">
        <f>IF($H$22="","",$H$22*$H$16)</f>
        <v>15222</v>
      </c>
      <c r="I23" s="1"/>
      <c r="J23" s="1"/>
      <c r="K23" s="1"/>
      <c r="L23" s="1"/>
      <c r="M23" s="1"/>
      <c r="N23" s="1"/>
    </row>
    <row r="24" spans="1:14" ht="21.95" customHeight="1" x14ac:dyDescent="0.25">
      <c r="A24" s="1"/>
      <c r="B24" s="9" t="s">
        <v>49</v>
      </c>
      <c r="C24" s="9" t="s">
        <v>50</v>
      </c>
      <c r="D24" s="40">
        <v>1650</v>
      </c>
      <c r="E24" s="40"/>
      <c r="F24" s="1"/>
      <c r="G24" s="6" t="s">
        <v>51</v>
      </c>
      <c r="H24" s="7">
        <f>H17*H16</f>
        <v>23865</v>
      </c>
      <c r="I24" s="1"/>
      <c r="J24" s="1"/>
      <c r="K24" s="1"/>
      <c r="L24" s="1"/>
      <c r="M24" s="1"/>
      <c r="N24" s="1"/>
    </row>
    <row r="25" spans="1:14" ht="21.95" customHeight="1" x14ac:dyDescent="0.25">
      <c r="A25" s="1"/>
      <c r="B25" s="9" t="s">
        <v>52</v>
      </c>
      <c r="C25" s="9" t="s">
        <v>53</v>
      </c>
      <c r="D25" s="40">
        <v>900</v>
      </c>
      <c r="E25" s="40"/>
      <c r="F25" s="1"/>
      <c r="G25" s="6" t="s">
        <v>54</v>
      </c>
      <c r="H25" s="7">
        <f>H18+H17*H19</f>
        <v>17850</v>
      </c>
      <c r="I25" s="1"/>
      <c r="J25" s="1"/>
      <c r="K25" s="1"/>
      <c r="L25" s="1"/>
      <c r="M25" s="1"/>
      <c r="N25" s="1"/>
    </row>
    <row r="26" spans="1:14" ht="21.95" customHeight="1" x14ac:dyDescent="0.25">
      <c r="A26" s="1"/>
      <c r="B26" s="9" t="s">
        <v>55</v>
      </c>
      <c r="C26" s="9" t="s">
        <v>56</v>
      </c>
      <c r="D26" s="40">
        <v>650</v>
      </c>
      <c r="E26" s="40"/>
      <c r="F26" s="1"/>
      <c r="G26" s="6" t="s">
        <v>4</v>
      </c>
      <c r="H26" s="7">
        <f>H24-H25</f>
        <v>6015</v>
      </c>
      <c r="I26" s="1"/>
      <c r="J26" s="1"/>
      <c r="K26" s="1"/>
      <c r="L26" s="1"/>
      <c r="M26" s="1"/>
      <c r="N26" s="1"/>
    </row>
    <row r="27" spans="1:14" x14ac:dyDescent="0.25">
      <c r="A27" s="1"/>
      <c r="B27" s="11" t="s">
        <v>57</v>
      </c>
      <c r="C27" s="11"/>
      <c r="D27" s="42">
        <f>SUM(D21:D26)</f>
        <v>10450</v>
      </c>
      <c r="E27" s="42"/>
      <c r="F27" s="1"/>
      <c r="G27" s="6" t="s">
        <v>58</v>
      </c>
      <c r="H27" s="8">
        <f>IF($H$22="","",$H$17-$H$22)</f>
        <v>67</v>
      </c>
      <c r="I27" s="1"/>
      <c r="J27" s="1"/>
      <c r="K27" s="1"/>
      <c r="L27" s="1"/>
      <c r="M27" s="1"/>
      <c r="N27" s="1"/>
    </row>
    <row r="28" spans="1:14" x14ac:dyDescent="0.25">
      <c r="A28" s="1"/>
      <c r="B28" s="1"/>
      <c r="C28" s="1"/>
      <c r="D28" s="1"/>
      <c r="E28" s="1"/>
      <c r="F28" s="1"/>
      <c r="G28" s="6" t="s">
        <v>5</v>
      </c>
      <c r="H28" s="10">
        <f>IFERROR((H24-H23)/H24,0)</f>
        <v>0.36216216216216218</v>
      </c>
      <c r="I28" s="1"/>
      <c r="J28" s="1"/>
      <c r="K28" s="1"/>
      <c r="L28" s="1"/>
      <c r="M28" s="1"/>
      <c r="N28" s="1"/>
    </row>
    <row r="29" spans="1:14" x14ac:dyDescent="0.25">
      <c r="A29" s="1"/>
      <c r="B29" s="25" t="s">
        <v>59</v>
      </c>
      <c r="C29" s="25"/>
      <c r="D29" s="25"/>
      <c r="E29" s="25"/>
      <c r="F29" s="1"/>
      <c r="G29" s="6" t="s">
        <v>60</v>
      </c>
      <c r="H29" s="7">
        <f>IF($H$20&lt;=0,"",ROUNDUP(($H$18+$D$16)/$H$20,0))</f>
        <v>208</v>
      </c>
      <c r="I29" s="1"/>
      <c r="J29" s="1"/>
      <c r="K29" s="1"/>
      <c r="L29" s="1"/>
      <c r="M29" s="1"/>
      <c r="N29" s="1"/>
    </row>
    <row r="30" spans="1:14" x14ac:dyDescent="0.25">
      <c r="A30" s="1"/>
      <c r="B30" s="3" t="s">
        <v>38</v>
      </c>
      <c r="C30" s="3" t="s">
        <v>39</v>
      </c>
      <c r="D30" s="39" t="s">
        <v>40</v>
      </c>
      <c r="E30" s="39"/>
      <c r="F30" s="1"/>
      <c r="G30" s="6" t="s">
        <v>61</v>
      </c>
      <c r="H30" s="7">
        <f>IFERROR(($H$18/$H$17)+$H$19,0)</f>
        <v>96.486486486486484</v>
      </c>
      <c r="I30" s="1"/>
      <c r="J30" s="1"/>
      <c r="K30" s="1"/>
      <c r="L30" s="1"/>
      <c r="M30" s="1"/>
      <c r="N30" s="1"/>
    </row>
    <row r="31" spans="1:14" ht="21.95" customHeight="1" x14ac:dyDescent="0.25">
      <c r="A31" s="1"/>
      <c r="B31" s="9" t="s">
        <v>62</v>
      </c>
      <c r="C31" s="9" t="s">
        <v>63</v>
      </c>
      <c r="D31" s="43">
        <v>5.5</v>
      </c>
      <c r="E31" s="43"/>
      <c r="F31" s="1"/>
      <c r="G31" s="1"/>
      <c r="H31" s="1"/>
      <c r="I31" s="1"/>
      <c r="J31" s="1"/>
      <c r="K31" s="1"/>
      <c r="L31" s="1"/>
      <c r="M31" s="1"/>
      <c r="N31" s="1"/>
    </row>
    <row r="32" spans="1:14" ht="21.95" customHeight="1" x14ac:dyDescent="0.25">
      <c r="A32" s="1"/>
      <c r="B32" s="9" t="s">
        <v>64</v>
      </c>
      <c r="C32" s="9" t="s">
        <v>65</v>
      </c>
      <c r="D32" s="43">
        <v>7.9</v>
      </c>
      <c r="E32" s="43">
        <v>7.9</v>
      </c>
      <c r="F32" s="1"/>
      <c r="G32" s="25" t="s">
        <v>66</v>
      </c>
      <c r="H32" s="25"/>
      <c r="I32" s="25"/>
      <c r="J32" s="25"/>
      <c r="K32" s="25"/>
      <c r="L32" s="31" t="s">
        <v>67</v>
      </c>
      <c r="M32" s="31"/>
      <c r="N32" s="31"/>
    </row>
    <row r="33" spans="1:14" ht="21.95" customHeight="1" x14ac:dyDescent="0.25">
      <c r="A33" s="1"/>
      <c r="B33" s="9" t="s">
        <v>68</v>
      </c>
      <c r="C33" s="9" t="s">
        <v>69</v>
      </c>
      <c r="D33" s="43">
        <v>12</v>
      </c>
      <c r="E33" s="43">
        <v>12</v>
      </c>
      <c r="F33" s="1"/>
      <c r="G33" s="3" t="s">
        <v>13</v>
      </c>
      <c r="H33" s="3" t="s">
        <v>2</v>
      </c>
      <c r="I33" s="3" t="s">
        <v>4</v>
      </c>
      <c r="J33" s="3" t="s">
        <v>5</v>
      </c>
      <c r="K33" s="20" t="s">
        <v>70</v>
      </c>
      <c r="L33" s="32" t="s">
        <v>71</v>
      </c>
      <c r="M33" s="32"/>
      <c r="N33" s="32"/>
    </row>
    <row r="34" spans="1:14" ht="21.95" customHeight="1" x14ac:dyDescent="0.25">
      <c r="A34" s="1"/>
      <c r="B34" s="9" t="s">
        <v>72</v>
      </c>
      <c r="C34" s="9" t="s">
        <v>73</v>
      </c>
      <c r="D34" s="43">
        <v>3.2</v>
      </c>
      <c r="E34" s="43">
        <v>3.2</v>
      </c>
      <c r="F34" s="1"/>
      <c r="G34" s="4" t="s">
        <v>20</v>
      </c>
      <c r="H34" s="13">
        <f>IF((($D$13*(1+H10))-($D$37*(1+K10)))&lt;=0,"",ROUNDUP(($D$27*(1+J10))/(($D$13*(1+H10))-($D$37*(1+K10))),0))</f>
        <v>118</v>
      </c>
      <c r="I34" s="14">
        <f>(ROUND($D$14*(1+I10),0)*($D$13*(1+H10)))-(($D$27*(1+J10))+ROUND($D$14*(1+I10),0)*($D$37*(1+K10)))</f>
        <v>6015</v>
      </c>
      <c r="J34" s="15">
        <f>IFERROR(((ROUND($D$14*(1+I10),0)*($D$13*(1+H10)))-(H34*($D$13*(1+H10))))/(ROUND($D$14*(1+I10),0)*($D$13*(1+H10))),0)</f>
        <v>0.36216216216216218</v>
      </c>
      <c r="K34" s="21">
        <f>IFERROR((($D$27*(1+J10))/ROUND($D$14*(1+I10),0))+($D$37*(1+K10)),0)</f>
        <v>96.486486486486484</v>
      </c>
      <c r="L34" s="32"/>
      <c r="M34" s="32"/>
      <c r="N34" s="32"/>
    </row>
    <row r="35" spans="1:14" ht="21.95" customHeight="1" x14ac:dyDescent="0.25">
      <c r="A35" s="1"/>
      <c r="B35" s="9" t="s">
        <v>74</v>
      </c>
      <c r="C35" s="9" t="s">
        <v>75</v>
      </c>
      <c r="D35" s="43">
        <v>8.5</v>
      </c>
      <c r="E35" s="43">
        <v>8.5</v>
      </c>
      <c r="F35" s="1"/>
      <c r="G35" s="4" t="s">
        <v>23</v>
      </c>
      <c r="H35" s="13">
        <f>IF((($D$13*(1+H11))-($D$37*(1+K11)))&lt;=0,"",ROUNDUP(($D$27*(1+J11))/(($D$13*(1+H11))-($D$37*(1+K11))),0))</f>
        <v>154</v>
      </c>
      <c r="I35" s="14">
        <f>(ROUND($D$14*(1+I11),0)*($D$13*(1+H11)))-(($D$27*(1+J11))+ROUND($D$14*(1+I11),0)*($D$37*(1+K11)))</f>
        <v>-378.39999999999418</v>
      </c>
      <c r="J35" s="15">
        <f>IFERROR(((ROUND($D$14*(1+I11),0)*($D$13*(1+H11)))-(H35*($D$13*(1+H11))))/(ROUND($D$14*(1+I11),0)*($D$13*(1+H11))),0)</f>
        <v>-4.0540540540540446E-2</v>
      </c>
      <c r="K35" s="21">
        <f>IFERROR((($D$27*(1+J11))/ROUND($D$14*(1+I11),0))+($D$37*(1+K11)),0)</f>
        <v>118.65675675675675</v>
      </c>
      <c r="L35" s="32"/>
      <c r="M35" s="32"/>
      <c r="N35" s="32"/>
    </row>
    <row r="36" spans="1:14" ht="21.95" customHeight="1" x14ac:dyDescent="0.25">
      <c r="A36" s="1"/>
      <c r="B36" s="9" t="s">
        <v>76</v>
      </c>
      <c r="C36" s="9" t="s">
        <v>77</v>
      </c>
      <c r="D36" s="43">
        <v>2.9</v>
      </c>
      <c r="E36" s="43">
        <v>2.9</v>
      </c>
      <c r="F36" s="1"/>
      <c r="G36" s="4" t="s">
        <v>25</v>
      </c>
      <c r="H36" s="13">
        <f>IF((($D$13*(1+H12))-($D$37*(1+K12)))&lt;=0,"",ROUNDUP(($D$27*(1+J12))/(($D$13*(1+H12))-($D$37*(1+K12))),0))</f>
        <v>96</v>
      </c>
      <c r="I36" s="14">
        <f>(ROUND($D$14*(1+I12),0)*($D$13*(1+H12)))-(($D$27*(1+J12))+ROUND($D$14*(1+I12),0)*($D$37*(1+K12)))</f>
        <v>14460.380000000005</v>
      </c>
      <c r="J36" s="15">
        <f>IFERROR(((ROUND($D$14*(1+I12),0)*($D$13*(1+H12)))-(H36*($D$13*(1+H12))))/(ROUND($D$14*(1+I12),0)*($D$13*(1+H12))),0)</f>
        <v>0.58441558441558439</v>
      </c>
      <c r="K36" s="21">
        <f>IFERROR((($D$27*(1+J12))/ROUND($D$14*(1+I12),0))+($D$37*(1+K12)),0)</f>
        <v>81.88095238095238</v>
      </c>
      <c r="L36" s="32"/>
      <c r="M36" s="32"/>
      <c r="N36" s="32"/>
    </row>
    <row r="37" spans="1:14" x14ac:dyDescent="0.25">
      <c r="A37" s="1"/>
      <c r="B37" s="11" t="s">
        <v>78</v>
      </c>
      <c r="C37" s="11"/>
      <c r="D37" s="44">
        <f>SUM(D31:D36)</f>
        <v>39.999999999999993</v>
      </c>
      <c r="E37" s="44"/>
      <c r="F37" s="1"/>
      <c r="G37" s="4" t="s">
        <v>27</v>
      </c>
      <c r="H37" s="13">
        <f>IF((($D$13*(1+H13))-($D$37*(1+K13)))&lt;=0,"",ROUNDUP(($D$27*(1+J13))/(($D$13*(1+H13))-($D$37*(1+K13))),0))</f>
        <v>118</v>
      </c>
      <c r="I37" s="14">
        <f>(ROUND($D$14*(1+I13),0)*($D$13*(1+H13)))-(($D$27*(1+J13))+ROUND($D$14*(1+I13),0)*($D$37*(1+K13)))</f>
        <v>6015</v>
      </c>
      <c r="J37" s="15">
        <f>IFERROR(((ROUND($D$14*(1+I13),0)*($D$13*(1+H13)))-(H37*($D$13*(1+H13))))/(ROUND($D$14*(1+I13),0)*($D$13*(1+H13))),0)</f>
        <v>0.36216216216216218</v>
      </c>
      <c r="K37" s="21">
        <f>IFERROR((($D$27*(1+J13))/ROUND($D$14*(1+I13),0))+($D$37*(1+K13)),0)</f>
        <v>96.486486486486484</v>
      </c>
      <c r="L37" s="32"/>
      <c r="M37" s="32"/>
      <c r="N37" s="32"/>
    </row>
    <row r="38" spans="1:14" x14ac:dyDescent="0.25">
      <c r="A38" s="1"/>
      <c r="B38" s="1"/>
      <c r="C38" s="1"/>
      <c r="D38" s="1"/>
      <c r="E38" s="1"/>
      <c r="F38" s="1"/>
      <c r="G38" s="1"/>
      <c r="H38" s="1"/>
      <c r="I38" s="1"/>
      <c r="J38" s="1"/>
      <c r="K38" s="1"/>
      <c r="L38" s="1"/>
      <c r="M38" s="1"/>
      <c r="N38" s="1"/>
    </row>
    <row r="39" spans="1:14" x14ac:dyDescent="0.25">
      <c r="A39" s="1"/>
      <c r="B39" s="1"/>
      <c r="C39" s="1"/>
      <c r="D39" s="1"/>
      <c r="E39" s="1"/>
      <c r="F39" s="1"/>
      <c r="G39" s="1"/>
      <c r="H39" s="1"/>
      <c r="I39" s="1"/>
      <c r="J39" s="1"/>
      <c r="K39" s="1"/>
      <c r="L39" s="1"/>
      <c r="M39" s="1"/>
      <c r="N39" s="1"/>
    </row>
    <row r="40" spans="1:14" x14ac:dyDescent="0.25">
      <c r="A40" s="1"/>
      <c r="B40" s="25" t="s">
        <v>79</v>
      </c>
      <c r="C40" s="25"/>
      <c r="D40" s="25"/>
      <c r="E40" s="25"/>
      <c r="F40" s="25"/>
      <c r="G40" s="1"/>
      <c r="H40" s="1"/>
      <c r="I40" s="1"/>
      <c r="J40" s="1"/>
      <c r="K40" s="1"/>
      <c r="L40" s="1"/>
      <c r="M40" s="1"/>
      <c r="N40" s="1"/>
    </row>
    <row r="41" spans="1:14" x14ac:dyDescent="0.25">
      <c r="A41" s="1"/>
      <c r="B41" s="3" t="s">
        <v>80</v>
      </c>
      <c r="C41" s="3" t="s">
        <v>81</v>
      </c>
      <c r="D41" s="3" t="s">
        <v>82</v>
      </c>
      <c r="E41" s="3" t="s">
        <v>83</v>
      </c>
      <c r="F41" s="3" t="s">
        <v>84</v>
      </c>
      <c r="G41" s="1"/>
      <c r="H41" s="1"/>
      <c r="I41" s="1"/>
      <c r="J41" s="1"/>
      <c r="K41" s="1"/>
      <c r="L41" s="1"/>
      <c r="M41" s="1"/>
      <c r="N41" s="1"/>
    </row>
    <row r="42" spans="1:14" x14ac:dyDescent="0.25">
      <c r="A42" s="1"/>
      <c r="B42" s="13">
        <v>0</v>
      </c>
      <c r="C42" s="14">
        <f t="shared" ref="C42:C65" si="0">IF(ISNUMBER($B42),$H$18,"")</f>
        <v>10450</v>
      </c>
      <c r="D42" s="14">
        <f t="shared" ref="D42:D65" si="1">IF(ISNUMBER($B42),$B42*$H$19,"")</f>
        <v>0</v>
      </c>
      <c r="E42" s="14">
        <f t="shared" ref="E42:E65" si="2">IF(ISNUMBER($B42),$C42+$D42,"")</f>
        <v>10450</v>
      </c>
      <c r="F42" s="14">
        <f t="shared" ref="F42:F65" si="3">IF(ISNUMBER($B42),$B42*$H$16,"")</f>
        <v>0</v>
      </c>
      <c r="G42" s="1"/>
      <c r="H42" s="1"/>
      <c r="I42" s="1"/>
      <c r="J42" s="1"/>
      <c r="K42" s="1"/>
      <c r="L42" s="1"/>
      <c r="M42" s="1"/>
      <c r="N42" s="1"/>
    </row>
    <row r="43" spans="1:14" x14ac:dyDescent="0.25">
      <c r="A43" s="1"/>
      <c r="B43" s="13">
        <f t="shared" ref="B43:B65" si="4">IF(ROW()-41&gt;$D$17,"",ROUNDUP(MAX($D$15,IFERROR($H$22*1.25,0),$H$17*1.15)/MAX(1,$D$17-1)*(ROW()-42),0))</f>
        <v>14</v>
      </c>
      <c r="C43" s="14">
        <f t="shared" si="0"/>
        <v>10450</v>
      </c>
      <c r="D43" s="14">
        <f t="shared" si="1"/>
        <v>559.99999999999989</v>
      </c>
      <c r="E43" s="14">
        <f t="shared" si="2"/>
        <v>11010</v>
      </c>
      <c r="F43" s="14">
        <f t="shared" si="3"/>
        <v>1806</v>
      </c>
      <c r="G43" s="1"/>
      <c r="H43" s="1"/>
      <c r="I43" s="1"/>
      <c r="J43" s="1"/>
      <c r="K43" s="1"/>
      <c r="L43" s="1"/>
      <c r="M43" s="1"/>
      <c r="N43" s="1"/>
    </row>
    <row r="44" spans="1:14" x14ac:dyDescent="0.25">
      <c r="A44" s="1"/>
      <c r="B44" s="13">
        <f t="shared" si="4"/>
        <v>27</v>
      </c>
      <c r="C44" s="14">
        <f t="shared" si="0"/>
        <v>10450</v>
      </c>
      <c r="D44" s="14">
        <f t="shared" si="1"/>
        <v>1079.9999999999998</v>
      </c>
      <c r="E44" s="14">
        <f t="shared" si="2"/>
        <v>11530</v>
      </c>
      <c r="F44" s="14">
        <f t="shared" si="3"/>
        <v>3483</v>
      </c>
      <c r="G44" s="1"/>
      <c r="H44" s="1"/>
      <c r="I44" s="1"/>
      <c r="J44" s="1"/>
      <c r="K44" s="1"/>
      <c r="L44" s="1"/>
      <c r="M44" s="1"/>
      <c r="N44" s="1"/>
    </row>
    <row r="45" spans="1:14" x14ac:dyDescent="0.25">
      <c r="A45" s="1"/>
      <c r="B45" s="13">
        <f t="shared" si="4"/>
        <v>40</v>
      </c>
      <c r="C45" s="14">
        <f t="shared" si="0"/>
        <v>10450</v>
      </c>
      <c r="D45" s="14">
        <f t="shared" si="1"/>
        <v>1599.9999999999998</v>
      </c>
      <c r="E45" s="14">
        <f t="shared" si="2"/>
        <v>12050</v>
      </c>
      <c r="F45" s="14">
        <f t="shared" si="3"/>
        <v>5160</v>
      </c>
      <c r="G45" s="1"/>
      <c r="H45" s="1"/>
      <c r="I45" s="1"/>
      <c r="J45" s="1"/>
      <c r="K45" s="1"/>
      <c r="L45" s="1"/>
      <c r="M45" s="1"/>
      <c r="N45" s="1"/>
    </row>
    <row r="46" spans="1:14" x14ac:dyDescent="0.25">
      <c r="A46" s="1"/>
      <c r="B46" s="13">
        <f t="shared" si="4"/>
        <v>53</v>
      </c>
      <c r="C46" s="14">
        <f t="shared" si="0"/>
        <v>10450</v>
      </c>
      <c r="D46" s="14">
        <f t="shared" si="1"/>
        <v>2119.9999999999995</v>
      </c>
      <c r="E46" s="14">
        <f t="shared" si="2"/>
        <v>12570</v>
      </c>
      <c r="F46" s="14">
        <f t="shared" si="3"/>
        <v>6837</v>
      </c>
      <c r="G46" s="1"/>
      <c r="H46" s="1"/>
      <c r="I46" s="1"/>
      <c r="J46" s="1"/>
      <c r="K46" s="1"/>
      <c r="L46" s="1"/>
      <c r="M46" s="1"/>
      <c r="N46" s="1"/>
    </row>
    <row r="47" spans="1:14" x14ac:dyDescent="0.25">
      <c r="A47" s="1"/>
      <c r="B47" s="13">
        <f t="shared" si="4"/>
        <v>66</v>
      </c>
      <c r="C47" s="14">
        <f t="shared" si="0"/>
        <v>10450</v>
      </c>
      <c r="D47" s="14">
        <f t="shared" si="1"/>
        <v>2639.9999999999995</v>
      </c>
      <c r="E47" s="14">
        <f t="shared" si="2"/>
        <v>13090</v>
      </c>
      <c r="F47" s="14">
        <f t="shared" si="3"/>
        <v>8514</v>
      </c>
      <c r="G47" s="1"/>
      <c r="H47" s="1"/>
      <c r="I47" s="1"/>
      <c r="J47" s="1"/>
      <c r="K47" s="1"/>
      <c r="L47" s="1"/>
      <c r="M47" s="1"/>
      <c r="N47" s="1"/>
    </row>
    <row r="48" spans="1:14" x14ac:dyDescent="0.25">
      <c r="A48" s="1"/>
      <c r="B48" s="13">
        <f t="shared" si="4"/>
        <v>79</v>
      </c>
      <c r="C48" s="14">
        <f t="shared" si="0"/>
        <v>10450</v>
      </c>
      <c r="D48" s="14">
        <f t="shared" si="1"/>
        <v>3159.9999999999995</v>
      </c>
      <c r="E48" s="14">
        <f t="shared" si="2"/>
        <v>13610</v>
      </c>
      <c r="F48" s="14">
        <f t="shared" si="3"/>
        <v>10191</v>
      </c>
      <c r="G48" s="1"/>
      <c r="H48" s="1"/>
      <c r="I48" s="1"/>
      <c r="J48" s="1"/>
      <c r="K48" s="1"/>
      <c r="L48" s="1"/>
      <c r="M48" s="1"/>
      <c r="N48" s="1"/>
    </row>
    <row r="49" spans="1:14" x14ac:dyDescent="0.25">
      <c r="A49" s="1"/>
      <c r="B49" s="13">
        <f t="shared" si="4"/>
        <v>92</v>
      </c>
      <c r="C49" s="14">
        <f t="shared" si="0"/>
        <v>10450</v>
      </c>
      <c r="D49" s="14">
        <f t="shared" si="1"/>
        <v>3679.9999999999995</v>
      </c>
      <c r="E49" s="14">
        <f t="shared" si="2"/>
        <v>14130</v>
      </c>
      <c r="F49" s="14">
        <f t="shared" si="3"/>
        <v>11868</v>
      </c>
      <c r="G49" s="1"/>
      <c r="H49" s="1"/>
      <c r="I49" s="1"/>
      <c r="J49" s="1"/>
      <c r="K49" s="1"/>
      <c r="L49" s="1"/>
      <c r="M49" s="1"/>
      <c r="N49" s="1"/>
    </row>
    <row r="50" spans="1:14" x14ac:dyDescent="0.25">
      <c r="A50" s="1"/>
      <c r="B50" s="13">
        <f t="shared" si="4"/>
        <v>105</v>
      </c>
      <c r="C50" s="14">
        <f t="shared" si="0"/>
        <v>10450</v>
      </c>
      <c r="D50" s="14">
        <f t="shared" si="1"/>
        <v>4199.9999999999991</v>
      </c>
      <c r="E50" s="14">
        <f t="shared" si="2"/>
        <v>14650</v>
      </c>
      <c r="F50" s="14">
        <f t="shared" si="3"/>
        <v>13545</v>
      </c>
      <c r="G50" s="1"/>
      <c r="H50" s="1"/>
      <c r="I50" s="1"/>
      <c r="J50" s="1"/>
      <c r="K50" s="1"/>
      <c r="L50" s="1"/>
      <c r="M50" s="1"/>
      <c r="N50" s="1"/>
    </row>
    <row r="51" spans="1:14" x14ac:dyDescent="0.25">
      <c r="A51" s="1"/>
      <c r="B51" s="13">
        <f t="shared" si="4"/>
        <v>118</v>
      </c>
      <c r="C51" s="14">
        <f t="shared" si="0"/>
        <v>10450</v>
      </c>
      <c r="D51" s="14">
        <f t="shared" si="1"/>
        <v>4719.9999999999991</v>
      </c>
      <c r="E51" s="14">
        <f t="shared" si="2"/>
        <v>15170</v>
      </c>
      <c r="F51" s="14">
        <f t="shared" si="3"/>
        <v>15222</v>
      </c>
      <c r="G51" s="1"/>
      <c r="H51" s="1"/>
      <c r="I51" s="1"/>
      <c r="J51" s="1"/>
      <c r="K51" s="1"/>
      <c r="L51" s="1"/>
      <c r="M51" s="1"/>
      <c r="N51" s="1"/>
    </row>
    <row r="52" spans="1:14" x14ac:dyDescent="0.25">
      <c r="A52" s="1"/>
      <c r="B52" s="13">
        <f t="shared" si="4"/>
        <v>131</v>
      </c>
      <c r="C52" s="14">
        <f t="shared" si="0"/>
        <v>10450</v>
      </c>
      <c r="D52" s="14">
        <f t="shared" si="1"/>
        <v>5239.9999999999991</v>
      </c>
      <c r="E52" s="14">
        <f t="shared" si="2"/>
        <v>15690</v>
      </c>
      <c r="F52" s="14">
        <f t="shared" si="3"/>
        <v>16899</v>
      </c>
      <c r="G52" s="1"/>
      <c r="H52" s="1"/>
      <c r="I52" s="1"/>
      <c r="J52" s="1"/>
      <c r="K52" s="1"/>
      <c r="L52" s="1"/>
      <c r="M52" s="1"/>
      <c r="N52" s="1"/>
    </row>
    <row r="53" spans="1:14" x14ac:dyDescent="0.25">
      <c r="A53" s="1"/>
      <c r="B53" s="13">
        <f t="shared" si="4"/>
        <v>144</v>
      </c>
      <c r="C53" s="14">
        <f t="shared" si="0"/>
        <v>10450</v>
      </c>
      <c r="D53" s="14">
        <f t="shared" si="1"/>
        <v>5759.9999999999991</v>
      </c>
      <c r="E53" s="14">
        <f t="shared" si="2"/>
        <v>16210</v>
      </c>
      <c r="F53" s="14">
        <f t="shared" si="3"/>
        <v>18576</v>
      </c>
      <c r="G53" s="1"/>
      <c r="H53" s="1"/>
      <c r="I53" s="1"/>
      <c r="J53" s="1"/>
      <c r="K53" s="1"/>
      <c r="L53" s="1"/>
      <c r="M53" s="1"/>
      <c r="N53" s="1"/>
    </row>
    <row r="54" spans="1:14" x14ac:dyDescent="0.25">
      <c r="A54" s="1"/>
      <c r="B54" s="13">
        <f t="shared" si="4"/>
        <v>157</v>
      </c>
      <c r="C54" s="14">
        <f t="shared" si="0"/>
        <v>10450</v>
      </c>
      <c r="D54" s="14">
        <f t="shared" si="1"/>
        <v>6279.9999999999991</v>
      </c>
      <c r="E54" s="14">
        <f t="shared" si="2"/>
        <v>16730</v>
      </c>
      <c r="F54" s="14">
        <f t="shared" si="3"/>
        <v>20253</v>
      </c>
      <c r="G54" s="1"/>
      <c r="H54" s="1"/>
      <c r="I54" s="1"/>
      <c r="J54" s="1"/>
      <c r="K54" s="1"/>
      <c r="L54" s="1"/>
      <c r="M54" s="1"/>
      <c r="N54" s="1"/>
    </row>
    <row r="55" spans="1:14" x14ac:dyDescent="0.25">
      <c r="A55" s="1"/>
      <c r="B55" s="13">
        <f t="shared" si="4"/>
        <v>170</v>
      </c>
      <c r="C55" s="14">
        <f t="shared" si="0"/>
        <v>10450</v>
      </c>
      <c r="D55" s="14">
        <f t="shared" si="1"/>
        <v>6799.9999999999991</v>
      </c>
      <c r="E55" s="14">
        <f t="shared" si="2"/>
        <v>17250</v>
      </c>
      <c r="F55" s="14">
        <f t="shared" si="3"/>
        <v>21930</v>
      </c>
      <c r="G55" s="1"/>
      <c r="H55" s="1"/>
      <c r="I55" s="1"/>
      <c r="J55" s="1"/>
      <c r="K55" s="1"/>
      <c r="L55" s="1"/>
      <c r="M55" s="1"/>
      <c r="N55" s="1"/>
    </row>
    <row r="56" spans="1:14" x14ac:dyDescent="0.25">
      <c r="A56" s="1"/>
      <c r="B56" s="13">
        <f t="shared" si="4"/>
        <v>183</v>
      </c>
      <c r="C56" s="14">
        <f t="shared" si="0"/>
        <v>10450</v>
      </c>
      <c r="D56" s="14">
        <f t="shared" si="1"/>
        <v>7319.9999999999991</v>
      </c>
      <c r="E56" s="14">
        <f t="shared" si="2"/>
        <v>17770</v>
      </c>
      <c r="F56" s="14">
        <f t="shared" si="3"/>
        <v>23607</v>
      </c>
      <c r="G56" s="1"/>
      <c r="H56" s="1"/>
      <c r="I56" s="1"/>
      <c r="J56" s="1"/>
      <c r="K56" s="1"/>
      <c r="L56" s="1"/>
      <c r="M56" s="1"/>
      <c r="N56" s="1"/>
    </row>
    <row r="57" spans="1:14" x14ac:dyDescent="0.25">
      <c r="A57" s="1"/>
      <c r="B57" s="13">
        <f t="shared" si="4"/>
        <v>196</v>
      </c>
      <c r="C57" s="14">
        <f t="shared" si="0"/>
        <v>10450</v>
      </c>
      <c r="D57" s="14">
        <f t="shared" si="1"/>
        <v>7839.9999999999982</v>
      </c>
      <c r="E57" s="14">
        <f t="shared" si="2"/>
        <v>18290</v>
      </c>
      <c r="F57" s="14">
        <f t="shared" si="3"/>
        <v>25284</v>
      </c>
      <c r="G57" s="1"/>
      <c r="H57" s="1"/>
      <c r="I57" s="1"/>
      <c r="J57" s="1"/>
      <c r="K57" s="1"/>
      <c r="L57" s="1"/>
      <c r="M57" s="1"/>
      <c r="N57" s="1"/>
    </row>
    <row r="58" spans="1:14" x14ac:dyDescent="0.25">
      <c r="A58" s="1"/>
      <c r="B58" s="13">
        <f t="shared" si="4"/>
        <v>209</v>
      </c>
      <c r="C58" s="14">
        <f t="shared" si="0"/>
        <v>10450</v>
      </c>
      <c r="D58" s="14">
        <f t="shared" si="1"/>
        <v>8359.9999999999982</v>
      </c>
      <c r="E58" s="14">
        <f t="shared" si="2"/>
        <v>18810</v>
      </c>
      <c r="F58" s="14">
        <f t="shared" si="3"/>
        <v>26961</v>
      </c>
      <c r="G58" s="1"/>
      <c r="H58" s="1"/>
      <c r="I58" s="1"/>
      <c r="J58" s="1"/>
      <c r="K58" s="1"/>
      <c r="L58" s="1"/>
      <c r="M58" s="1"/>
      <c r="N58" s="1"/>
    </row>
    <row r="59" spans="1:14" x14ac:dyDescent="0.25">
      <c r="A59" s="1"/>
      <c r="B59" s="13">
        <f t="shared" si="4"/>
        <v>222</v>
      </c>
      <c r="C59" s="14">
        <f t="shared" si="0"/>
        <v>10450</v>
      </c>
      <c r="D59" s="14">
        <f t="shared" si="1"/>
        <v>8879.9999999999982</v>
      </c>
      <c r="E59" s="14">
        <f t="shared" si="2"/>
        <v>19330</v>
      </c>
      <c r="F59" s="14">
        <f t="shared" si="3"/>
        <v>28638</v>
      </c>
      <c r="G59" s="1"/>
      <c r="H59" s="1"/>
      <c r="I59" s="1"/>
      <c r="J59" s="1"/>
      <c r="K59" s="1"/>
      <c r="L59" s="1"/>
      <c r="M59" s="1"/>
      <c r="N59" s="1"/>
    </row>
    <row r="60" spans="1:14" x14ac:dyDescent="0.25">
      <c r="A60" s="1"/>
      <c r="B60" s="13">
        <f t="shared" si="4"/>
        <v>235</v>
      </c>
      <c r="C60" s="14">
        <f t="shared" si="0"/>
        <v>10450</v>
      </c>
      <c r="D60" s="14">
        <f t="shared" si="1"/>
        <v>9399.9999999999982</v>
      </c>
      <c r="E60" s="14">
        <f t="shared" si="2"/>
        <v>19850</v>
      </c>
      <c r="F60" s="14">
        <f t="shared" si="3"/>
        <v>30315</v>
      </c>
      <c r="G60" s="1"/>
      <c r="H60" s="1"/>
      <c r="I60" s="1"/>
      <c r="J60" s="1"/>
      <c r="K60" s="1"/>
      <c r="L60" s="1"/>
      <c r="M60" s="1"/>
      <c r="N60" s="1"/>
    </row>
    <row r="61" spans="1:14" x14ac:dyDescent="0.25">
      <c r="A61" s="1"/>
      <c r="B61" s="13">
        <f t="shared" si="4"/>
        <v>248</v>
      </c>
      <c r="C61" s="14">
        <f t="shared" si="0"/>
        <v>10450</v>
      </c>
      <c r="D61" s="14">
        <f t="shared" si="1"/>
        <v>9919.9999999999982</v>
      </c>
      <c r="E61" s="14">
        <f t="shared" si="2"/>
        <v>20370</v>
      </c>
      <c r="F61" s="14">
        <f t="shared" si="3"/>
        <v>31992</v>
      </c>
      <c r="G61" s="1"/>
      <c r="H61" s="1"/>
      <c r="I61" s="1"/>
      <c r="J61" s="1"/>
      <c r="K61" s="1"/>
      <c r="L61" s="1"/>
      <c r="M61" s="1"/>
      <c r="N61" s="1"/>
    </row>
    <row r="62" spans="1:14" x14ac:dyDescent="0.25">
      <c r="A62" s="1"/>
      <c r="B62" s="13">
        <f t="shared" si="4"/>
        <v>261</v>
      </c>
      <c r="C62" s="14">
        <f t="shared" si="0"/>
        <v>10450</v>
      </c>
      <c r="D62" s="14">
        <f t="shared" si="1"/>
        <v>10439.999999999998</v>
      </c>
      <c r="E62" s="14">
        <f t="shared" si="2"/>
        <v>20890</v>
      </c>
      <c r="F62" s="14">
        <f t="shared" si="3"/>
        <v>33669</v>
      </c>
      <c r="G62" s="1"/>
      <c r="H62" s="1"/>
      <c r="I62" s="1"/>
      <c r="J62" s="1"/>
      <c r="K62" s="1"/>
      <c r="L62" s="1"/>
      <c r="M62" s="1"/>
      <c r="N62" s="1"/>
    </row>
    <row r="63" spans="1:14" x14ac:dyDescent="0.25">
      <c r="A63" s="1"/>
      <c r="B63" s="13">
        <f t="shared" si="4"/>
        <v>274</v>
      </c>
      <c r="C63" s="14">
        <f t="shared" si="0"/>
        <v>10450</v>
      </c>
      <c r="D63" s="14">
        <f t="shared" si="1"/>
        <v>10959.999999999998</v>
      </c>
      <c r="E63" s="14">
        <f t="shared" si="2"/>
        <v>21410</v>
      </c>
      <c r="F63" s="14">
        <f t="shared" si="3"/>
        <v>35346</v>
      </c>
      <c r="G63" s="1"/>
      <c r="H63" s="1"/>
      <c r="I63" s="1"/>
      <c r="J63" s="1"/>
      <c r="K63" s="1"/>
      <c r="L63" s="1"/>
      <c r="M63" s="1"/>
      <c r="N63" s="1"/>
    </row>
    <row r="64" spans="1:14" x14ac:dyDescent="0.25">
      <c r="A64" s="1"/>
      <c r="B64" s="13">
        <f t="shared" si="4"/>
        <v>287</v>
      </c>
      <c r="C64" s="14">
        <f t="shared" si="0"/>
        <v>10450</v>
      </c>
      <c r="D64" s="14">
        <f t="shared" si="1"/>
        <v>11479.999999999998</v>
      </c>
      <c r="E64" s="14">
        <f t="shared" si="2"/>
        <v>21930</v>
      </c>
      <c r="F64" s="14">
        <f t="shared" si="3"/>
        <v>37023</v>
      </c>
      <c r="G64" s="1"/>
      <c r="H64" s="1"/>
      <c r="I64" s="1"/>
      <c r="J64" s="1"/>
      <c r="K64" s="1"/>
      <c r="L64" s="1"/>
      <c r="M64" s="1"/>
      <c r="N64" s="1"/>
    </row>
    <row r="65" spans="1:14" x14ac:dyDescent="0.25">
      <c r="A65" s="1"/>
      <c r="B65" s="13">
        <f t="shared" si="4"/>
        <v>300</v>
      </c>
      <c r="C65" s="14">
        <f t="shared" si="0"/>
        <v>10450</v>
      </c>
      <c r="D65" s="14">
        <f t="shared" si="1"/>
        <v>11999.999999999998</v>
      </c>
      <c r="E65" s="14">
        <f t="shared" si="2"/>
        <v>22450</v>
      </c>
      <c r="F65" s="14">
        <f t="shared" si="3"/>
        <v>38700</v>
      </c>
      <c r="G65" s="1"/>
      <c r="H65" s="1"/>
      <c r="I65" s="1"/>
      <c r="J65" s="1"/>
      <c r="K65" s="1"/>
      <c r="L65" s="1"/>
      <c r="M65" s="1"/>
      <c r="N65" s="1"/>
    </row>
    <row r="66" spans="1:14" x14ac:dyDescent="0.25">
      <c r="A66" s="1"/>
      <c r="B66" s="1"/>
      <c r="C66" s="1"/>
      <c r="D66" s="1"/>
      <c r="E66" s="1"/>
      <c r="F66" s="1"/>
      <c r="G66" s="1"/>
      <c r="H66" s="1"/>
      <c r="I66" s="1"/>
      <c r="J66" s="1"/>
      <c r="K66" s="1"/>
      <c r="L66" s="1"/>
      <c r="M66" s="1"/>
      <c r="N66" s="1"/>
    </row>
    <row r="67" spans="1:14" x14ac:dyDescent="0.25">
      <c r="A67" s="1"/>
      <c r="B67" s="1"/>
      <c r="C67" s="1"/>
      <c r="D67" s="1"/>
      <c r="E67" s="1"/>
      <c r="F67" s="1"/>
      <c r="G67" s="1"/>
      <c r="H67" s="1"/>
      <c r="I67" s="1"/>
      <c r="J67" s="1"/>
      <c r="K67" s="1"/>
      <c r="L67" s="1"/>
      <c r="M67" s="1"/>
      <c r="N67" s="1"/>
    </row>
    <row r="68" spans="1:14" x14ac:dyDescent="0.25">
      <c r="A68" s="1"/>
      <c r="B68" s="25" t="s">
        <v>85</v>
      </c>
      <c r="C68" s="25"/>
      <c r="D68" s="25"/>
      <c r="E68" s="25"/>
      <c r="F68" s="25"/>
      <c r="G68" s="25"/>
      <c r="H68" s="25"/>
      <c r="I68" s="25"/>
      <c r="J68" s="1"/>
      <c r="K68" s="1"/>
      <c r="L68" s="1"/>
      <c r="M68" s="1"/>
      <c r="N68" s="1"/>
    </row>
    <row r="69" spans="1:14" x14ac:dyDescent="0.25">
      <c r="A69" s="1"/>
      <c r="B69" s="3" t="s">
        <v>86</v>
      </c>
      <c r="C69" s="3" t="s">
        <v>87</v>
      </c>
      <c r="D69" s="3" t="s">
        <v>88</v>
      </c>
      <c r="E69" s="3" t="s">
        <v>89</v>
      </c>
      <c r="F69" s="3" t="s">
        <v>90</v>
      </c>
      <c r="G69" s="3" t="s">
        <v>91</v>
      </c>
      <c r="H69" s="3" t="s">
        <v>92</v>
      </c>
      <c r="I69" s="3" t="s">
        <v>93</v>
      </c>
      <c r="J69" s="1"/>
      <c r="K69" s="1"/>
      <c r="L69" s="1"/>
      <c r="M69" s="1"/>
      <c r="N69" s="1"/>
    </row>
    <row r="70" spans="1:14" x14ac:dyDescent="0.25">
      <c r="A70" s="1"/>
      <c r="B70" s="16" t="s">
        <v>88</v>
      </c>
      <c r="C70" s="13">
        <f>IFERROR(ROUNDUP($H$18/(($H$16*(1+-0.15))-($H$19*(1+-0.1))),0),"")</f>
        <v>142</v>
      </c>
      <c r="D70" s="13">
        <f>IFERROR(ROUNDUP($H$18/(($H$16*(1+-0.1))-($H$19*(1+-0.1))),0),"")</f>
        <v>131</v>
      </c>
      <c r="E70" s="13">
        <f>IFERROR(ROUNDUP($H$18/(($H$16*(1+0))-($H$19*(1+-0.1))),0),"")</f>
        <v>113</v>
      </c>
      <c r="F70" s="13">
        <f>IFERROR(ROUNDUP($H$18/(($H$16*(1+0.1))-($H$19*(1+-0.1))),0),"")</f>
        <v>99</v>
      </c>
      <c r="G70" s="13">
        <f>IFERROR(ROUNDUP($H$18/(($H$16*(1+0.15))-($H$19*(1+-0.1))),0),"")</f>
        <v>94</v>
      </c>
      <c r="H70" s="13">
        <f>IFERROR(ROUNDUP($H$18/(($H$16*(1+0.2))-($H$19*(1+-0.1))),0),"")</f>
        <v>88</v>
      </c>
      <c r="I70" s="17" t="s">
        <v>94</v>
      </c>
      <c r="J70" s="1"/>
      <c r="K70" s="1"/>
      <c r="L70" s="1"/>
      <c r="M70" s="1"/>
      <c r="N70" s="1"/>
    </row>
    <row r="71" spans="1:14" x14ac:dyDescent="0.25">
      <c r="A71" s="1"/>
      <c r="B71" s="16" t="s">
        <v>89</v>
      </c>
      <c r="C71" s="13">
        <f>IFERROR(ROUNDUP($H$18/(($H$16*(1+-0.15))-($H$19*(1+0))),0),"")</f>
        <v>151</v>
      </c>
      <c r="D71" s="13">
        <f>IFERROR(ROUNDUP($H$18/(($H$16*(1+-0.1))-($H$19*(1+0))),0),"")</f>
        <v>138</v>
      </c>
      <c r="E71" s="13">
        <f>IFERROR(ROUNDUP($H$18/(($H$16*(1+0))-($H$19*(1+0))),0),"")</f>
        <v>118</v>
      </c>
      <c r="F71" s="13">
        <f>IFERROR(ROUNDUP($H$18/(($H$16*(1+0.1))-($H$19*(1+0))),0),"")</f>
        <v>103</v>
      </c>
      <c r="G71" s="13">
        <f>IFERROR(ROUNDUP($H$18/(($H$16*(1+0.15))-($H$19*(1+0))),0),"")</f>
        <v>97</v>
      </c>
      <c r="H71" s="13">
        <f>IFERROR(ROUNDUP($H$18/(($H$16*(1+0.2))-($H$19*(1+0))),0),"")</f>
        <v>92</v>
      </c>
      <c r="I71" s="17" t="s">
        <v>20</v>
      </c>
      <c r="J71" s="1"/>
      <c r="K71" s="1"/>
      <c r="L71" s="1"/>
      <c r="M71" s="1"/>
      <c r="N71" s="1"/>
    </row>
    <row r="72" spans="1:14" x14ac:dyDescent="0.25">
      <c r="A72" s="1"/>
      <c r="B72" s="16" t="s">
        <v>90</v>
      </c>
      <c r="C72" s="13">
        <f>IFERROR(ROUNDUP($H$18/(($H$16*(1+-0.15))-($H$19*(1+0.1))),0),"")</f>
        <v>160</v>
      </c>
      <c r="D72" s="13">
        <f>IFERROR(ROUNDUP($H$18/(($H$16*(1+-0.1))-($H$19*(1+0.1))),0),"")</f>
        <v>145</v>
      </c>
      <c r="E72" s="13">
        <f>IFERROR(ROUNDUP($H$18/(($H$16*(1+0))-($H$19*(1+0.1))),0),"")</f>
        <v>123</v>
      </c>
      <c r="F72" s="13">
        <f>IFERROR(ROUNDUP($H$18/(($H$16*(1+0.1))-($H$19*(1+0.1))),0),"")</f>
        <v>107</v>
      </c>
      <c r="G72" s="13">
        <f>IFERROR(ROUNDUP($H$18/(($H$16*(1+0.15))-($H$19*(1+0.1))),0),"")</f>
        <v>101</v>
      </c>
      <c r="H72" s="13">
        <f>IFERROR(ROUNDUP($H$18/(($H$16*(1+0.2))-($H$19*(1+0.1))),0),"")</f>
        <v>95</v>
      </c>
      <c r="I72" s="17" t="s">
        <v>95</v>
      </c>
      <c r="J72" s="1"/>
      <c r="K72" s="1"/>
      <c r="L72" s="1"/>
      <c r="M72" s="1"/>
      <c r="N72" s="1"/>
    </row>
    <row r="73" spans="1:14" x14ac:dyDescent="0.25">
      <c r="A73" s="1"/>
      <c r="B73" s="16" t="s">
        <v>92</v>
      </c>
      <c r="C73" s="13">
        <f>IFERROR(ROUNDUP($H$18/(($H$16*(1+-0.15))-($H$19*(1+0.2))),0),"")</f>
        <v>170</v>
      </c>
      <c r="D73" s="13">
        <f>IFERROR(ROUNDUP($H$18/(($H$16*(1+-0.1))-($H$19*(1+0.2))),0),"")</f>
        <v>154</v>
      </c>
      <c r="E73" s="13">
        <f>IFERROR(ROUNDUP($H$18/(($H$16*(1+0))-($H$19*(1+0.2))),0),"")</f>
        <v>130</v>
      </c>
      <c r="F73" s="13">
        <f>IFERROR(ROUNDUP($H$18/(($H$16*(1+0.1))-($H$19*(1+0.2))),0),"")</f>
        <v>112</v>
      </c>
      <c r="G73" s="13">
        <f>IFERROR(ROUNDUP($H$18/(($H$16*(1+0.15))-($H$19*(1+0.2))),0),"")</f>
        <v>105</v>
      </c>
      <c r="H73" s="13">
        <f>IFERROR(ROUNDUP($H$18/(($H$16*(1+0.2))-($H$19*(1+0.2))),0),"")</f>
        <v>98</v>
      </c>
      <c r="I73" s="17" t="s">
        <v>96</v>
      </c>
      <c r="J73" s="1"/>
      <c r="K73" s="1"/>
      <c r="L73" s="1"/>
      <c r="M73" s="1"/>
      <c r="N73" s="1"/>
    </row>
    <row r="74" spans="1:14" x14ac:dyDescent="0.25">
      <c r="A74" s="1"/>
      <c r="B74" s="1"/>
      <c r="C74" s="1"/>
      <c r="D74" s="1"/>
      <c r="E74" s="1"/>
      <c r="F74" s="1"/>
      <c r="G74" s="1"/>
      <c r="H74" s="1"/>
      <c r="I74" s="1"/>
      <c r="J74" s="1"/>
      <c r="K74" s="1"/>
      <c r="L74" s="1"/>
      <c r="M74" s="1"/>
      <c r="N74" s="1"/>
    </row>
    <row r="75" spans="1:14" x14ac:dyDescent="0.25">
      <c r="A75" s="1"/>
      <c r="B75" s="1"/>
      <c r="C75" s="1"/>
      <c r="D75" s="1"/>
      <c r="E75" s="1"/>
      <c r="F75" s="1"/>
      <c r="G75" s="1"/>
      <c r="H75" s="1"/>
      <c r="I75" s="1"/>
      <c r="J75" s="1"/>
      <c r="K75" s="1"/>
      <c r="L75" s="1"/>
      <c r="M75" s="1"/>
      <c r="N75" s="1"/>
    </row>
    <row r="76" spans="1:14" x14ac:dyDescent="0.25">
      <c r="A76" s="1"/>
      <c r="B76" s="1"/>
      <c r="C76" s="1"/>
      <c r="D76" s="1"/>
      <c r="E76" s="1"/>
      <c r="F76" s="1"/>
      <c r="G76" s="1"/>
      <c r="H76" s="1"/>
      <c r="I76" s="1"/>
      <c r="J76" s="1"/>
      <c r="K76" s="1"/>
      <c r="L76" s="1"/>
      <c r="M76" s="1"/>
      <c r="N76" s="1"/>
    </row>
    <row r="77" spans="1:14" x14ac:dyDescent="0.25">
      <c r="A77" s="1"/>
      <c r="B77" s="1"/>
      <c r="C77" s="1"/>
      <c r="D77" s="1"/>
      <c r="E77" s="1"/>
      <c r="F77" s="1"/>
      <c r="G77" s="1"/>
      <c r="H77" s="1"/>
      <c r="I77" s="1"/>
      <c r="J77" s="1"/>
      <c r="K77" s="1"/>
      <c r="L77" s="1"/>
      <c r="M77" s="1"/>
      <c r="N77" s="1"/>
    </row>
    <row r="78" spans="1:14" x14ac:dyDescent="0.25">
      <c r="A78" s="1"/>
      <c r="B78" s="1"/>
      <c r="C78" s="1"/>
      <c r="D78" s="1"/>
      <c r="E78" s="1"/>
      <c r="F78" s="1"/>
      <c r="G78" s="1"/>
      <c r="H78" s="1"/>
      <c r="I78" s="1"/>
      <c r="J78" s="1"/>
      <c r="K78" s="1"/>
      <c r="L78" s="1"/>
      <c r="M78" s="1"/>
      <c r="N78" s="1"/>
    </row>
    <row r="79" spans="1:14" x14ac:dyDescent="0.25">
      <c r="A79" s="1"/>
      <c r="B79" s="1"/>
      <c r="C79" s="1"/>
      <c r="D79" s="1"/>
      <c r="E79" s="1"/>
      <c r="F79" s="1"/>
      <c r="G79" s="1"/>
      <c r="H79" s="1"/>
      <c r="I79" s="1"/>
      <c r="J79" s="1"/>
      <c r="K79" s="1"/>
      <c r="L79" s="1"/>
      <c r="M79" s="1"/>
      <c r="N79" s="1"/>
    </row>
    <row r="80" spans="1:14" x14ac:dyDescent="0.25">
      <c r="A80" s="1"/>
      <c r="B80" s="1"/>
      <c r="C80" s="1"/>
      <c r="D80" s="1"/>
      <c r="E80" s="1"/>
      <c r="F80" s="1"/>
      <c r="G80" s="1"/>
      <c r="H80" s="1"/>
      <c r="I80" s="1"/>
      <c r="J80" s="1"/>
      <c r="K80" s="1"/>
      <c r="L80" s="1"/>
      <c r="M80" s="1"/>
      <c r="N80" s="1"/>
    </row>
  </sheetData>
  <mergeCells count="46">
    <mergeCell ref="D36:E36"/>
    <mergeCell ref="D37:E37"/>
    <mergeCell ref="D31:E31"/>
    <mergeCell ref="D32:E32"/>
    <mergeCell ref="D33:E33"/>
    <mergeCell ref="D34:E34"/>
    <mergeCell ref="D35:E35"/>
    <mergeCell ref="L32:N32"/>
    <mergeCell ref="L33:N37"/>
    <mergeCell ref="D9:E9"/>
    <mergeCell ref="D10:E10"/>
    <mergeCell ref="D11:E11"/>
    <mergeCell ref="D12:E12"/>
    <mergeCell ref="D13:E13"/>
    <mergeCell ref="D14:E14"/>
    <mergeCell ref="D15:E15"/>
    <mergeCell ref="D16:E16"/>
    <mergeCell ref="D17:E17"/>
    <mergeCell ref="D20:E20"/>
    <mergeCell ref="D24:E24"/>
    <mergeCell ref="B40:F40"/>
    <mergeCell ref="B68:I68"/>
    <mergeCell ref="B4:D4"/>
    <mergeCell ref="B5:D5"/>
    <mergeCell ref="B6:D6"/>
    <mergeCell ref="E4:G4"/>
    <mergeCell ref="E5:G5"/>
    <mergeCell ref="E6:G6"/>
    <mergeCell ref="H4:J4"/>
    <mergeCell ref="H5:J5"/>
    <mergeCell ref="H6:J6"/>
    <mergeCell ref="G32:K32"/>
    <mergeCell ref="D25:E25"/>
    <mergeCell ref="D26:E26"/>
    <mergeCell ref="D27:E27"/>
    <mergeCell ref="D30:E30"/>
    <mergeCell ref="A1:N1"/>
    <mergeCell ref="A2:N2"/>
    <mergeCell ref="B8:E8"/>
    <mergeCell ref="B19:E19"/>
    <mergeCell ref="B29:E29"/>
    <mergeCell ref="G8:K8"/>
    <mergeCell ref="G15:K15"/>
    <mergeCell ref="K4:M4"/>
    <mergeCell ref="K5:M5"/>
    <mergeCell ref="K6:M6"/>
  </mergeCells>
  <conditionalFormatting sqref="C70:H73">
    <cfRule type="colorScale" priority="4">
      <colorScale>
        <cfvo type="min"/>
        <cfvo type="percentile" val="50"/>
        <cfvo type="max"/>
        <color rgb="FFE2F0D9"/>
        <color rgb="FFFFF2CC"/>
        <color rgb="FFFCE4D6"/>
      </colorScale>
    </cfRule>
  </conditionalFormatting>
  <conditionalFormatting sqref="H26">
    <cfRule type="cellIs" dxfId="1" priority="1" operator="lessThan">
      <formula>0</formula>
    </cfRule>
    <cfRule type="cellIs" dxfId="0" priority="2" operator="greaterThanOrEqual">
      <formula>0</formula>
    </cfRule>
  </conditionalFormatting>
  <conditionalFormatting sqref="H34:H37">
    <cfRule type="dataBar" priority="5">
      <dataBar>
        <cfvo type="min"/>
        <cfvo type="max"/>
        <color rgb="FF93C5FD"/>
      </dataBar>
    </cfRule>
    <cfRule type="dataBar" priority="6">
      <dataBar>
        <cfvo type="min"/>
        <cfvo type="max"/>
        <color rgb="FF93C5FD"/>
      </dataBar>
      <extLst>
        <ext xmlns:x14="http://schemas.microsoft.com/office/spreadsheetml/2009/9/main" uri="{B025F937-C7B1-47D3-B67F-A62EFF666E3E}">
          <x14:id>{871D7D22-8927-1D97-7E91-E88D3841E7B2}</x14:id>
        </ext>
      </extLst>
    </cfRule>
  </conditionalFormatting>
  <dataValidations count="1">
    <dataValidation type="list" sqref="D11" xr:uid="{00000000-0002-0000-0000-000000000000}">
      <formula1>"Basis,Vorsichtig,Stark,Eigenes"</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871D7D22-8927-1D97-7E91-E88D3841E7B2}">
            <x14:dataBar>
              <x14:cfvo type="min"/>
              <x14:cfvo type="max"/>
              <x14:negativeFillColor auto="1"/>
              <x14:axisColor auto="1"/>
            </x14:dataBar>
          </x14:cfRule>
          <xm:sqref>H34:H37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0"/>
  <sheetViews>
    <sheetView showGridLines="0" workbookViewId="0"/>
  </sheetViews>
  <sheetFormatPr baseColWidth="10" defaultColWidth="9" defaultRowHeight="15" x14ac:dyDescent="0.25"/>
  <cols>
    <col min="1" max="1" width="16" customWidth="1"/>
    <col min="2" max="2" width="30" customWidth="1"/>
    <col min="3" max="3" width="70" customWidth="1"/>
    <col min="4" max="8" width="8" customWidth="1"/>
  </cols>
  <sheetData>
    <row r="1" spans="1:8" ht="30" customHeight="1" x14ac:dyDescent="0.35">
      <c r="A1" s="33" t="s">
        <v>97</v>
      </c>
      <c r="B1" s="33"/>
      <c r="C1" s="33"/>
      <c r="D1" s="33"/>
      <c r="E1" s="33"/>
      <c r="F1" s="33"/>
      <c r="G1" s="33"/>
      <c r="H1" s="33"/>
    </row>
    <row r="2" spans="1:8" x14ac:dyDescent="0.25">
      <c r="A2" s="1"/>
      <c r="B2" s="1"/>
      <c r="C2" s="1"/>
      <c r="D2" s="1"/>
      <c r="E2" s="1"/>
      <c r="F2" s="1"/>
      <c r="G2" s="1"/>
      <c r="H2" s="1"/>
    </row>
    <row r="3" spans="1:8" x14ac:dyDescent="0.25">
      <c r="A3" s="34" t="s">
        <v>98</v>
      </c>
      <c r="B3" s="34"/>
      <c r="C3" s="34"/>
      <c r="D3" s="34"/>
      <c r="E3" s="34"/>
      <c r="F3" s="34"/>
      <c r="G3" s="34"/>
      <c r="H3" s="34"/>
    </row>
    <row r="4" spans="1:8" x14ac:dyDescent="0.25">
      <c r="A4" s="1"/>
      <c r="B4" s="1"/>
      <c r="C4" s="1"/>
      <c r="D4" s="1"/>
      <c r="E4" s="1"/>
      <c r="F4" s="1"/>
      <c r="G4" s="1"/>
      <c r="H4" s="1"/>
    </row>
    <row r="5" spans="1:8" ht="27" x14ac:dyDescent="0.25">
      <c r="A5" s="18" t="s">
        <v>99</v>
      </c>
      <c r="B5" s="4" t="s">
        <v>100</v>
      </c>
      <c r="C5" s="9" t="s">
        <v>101</v>
      </c>
      <c r="D5" s="1"/>
      <c r="E5" s="1"/>
      <c r="F5" s="1"/>
      <c r="G5" s="1"/>
      <c r="H5" s="1"/>
    </row>
    <row r="6" spans="1:8" ht="27" x14ac:dyDescent="0.25">
      <c r="A6" s="18" t="s">
        <v>102</v>
      </c>
      <c r="B6" s="4" t="s">
        <v>103</v>
      </c>
      <c r="C6" s="9" t="s">
        <v>104</v>
      </c>
      <c r="D6" s="1"/>
      <c r="E6" s="1"/>
      <c r="F6" s="1"/>
      <c r="G6" s="1"/>
      <c r="H6" s="1"/>
    </row>
    <row r="7" spans="1:8" ht="27" x14ac:dyDescent="0.25">
      <c r="A7" s="18" t="s">
        <v>105</v>
      </c>
      <c r="B7" s="4" t="s">
        <v>106</v>
      </c>
      <c r="C7" s="9" t="s">
        <v>107</v>
      </c>
      <c r="D7" s="1"/>
      <c r="E7" s="1"/>
      <c r="F7" s="1"/>
      <c r="G7" s="1"/>
      <c r="H7" s="1"/>
    </row>
    <row r="8" spans="1:8" ht="27" x14ac:dyDescent="0.25">
      <c r="A8" s="18" t="s">
        <v>108</v>
      </c>
      <c r="B8" s="4" t="s">
        <v>109</v>
      </c>
      <c r="C8" s="9" t="s">
        <v>110</v>
      </c>
      <c r="D8" s="1"/>
      <c r="E8" s="1"/>
      <c r="F8" s="1"/>
      <c r="G8" s="1"/>
      <c r="H8" s="1"/>
    </row>
    <row r="9" spans="1:8" x14ac:dyDescent="0.25">
      <c r="A9" s="1"/>
      <c r="B9" s="1"/>
      <c r="C9" s="1"/>
      <c r="D9" s="1"/>
      <c r="E9" s="1"/>
      <c r="F9" s="1"/>
      <c r="G9" s="1"/>
      <c r="H9" s="1"/>
    </row>
    <row r="10" spans="1:8" x14ac:dyDescent="0.25">
      <c r="A10" s="1"/>
      <c r="B10" s="1"/>
      <c r="C10" s="1"/>
      <c r="D10" s="1"/>
      <c r="E10" s="1"/>
      <c r="F10" s="1"/>
      <c r="G10" s="1"/>
      <c r="H10" s="1"/>
    </row>
    <row r="11" spans="1:8" x14ac:dyDescent="0.25">
      <c r="A11" s="34" t="s">
        <v>111</v>
      </c>
      <c r="B11" s="34"/>
      <c r="C11" s="34"/>
      <c r="D11" s="34"/>
      <c r="E11" s="34"/>
      <c r="F11" s="34"/>
      <c r="G11" s="34"/>
      <c r="H11" s="34"/>
    </row>
    <row r="12" spans="1:8" x14ac:dyDescent="0.25">
      <c r="A12" s="1"/>
      <c r="B12" s="1"/>
      <c r="C12" s="1"/>
      <c r="D12" s="1"/>
      <c r="E12" s="1"/>
      <c r="F12" s="1"/>
      <c r="G12" s="1"/>
      <c r="H12" s="1"/>
    </row>
    <row r="13" spans="1:8" ht="27" x14ac:dyDescent="0.25">
      <c r="A13" s="4" t="s">
        <v>41</v>
      </c>
      <c r="B13" s="19" t="s">
        <v>112</v>
      </c>
      <c r="C13" s="1"/>
      <c r="D13" s="1"/>
      <c r="E13" s="1"/>
      <c r="F13" s="1"/>
      <c r="G13" s="1"/>
      <c r="H13" s="1"/>
    </row>
    <row r="14" spans="1:8" x14ac:dyDescent="0.25">
      <c r="A14" s="4" t="s">
        <v>2</v>
      </c>
      <c r="B14" s="19" t="s">
        <v>113</v>
      </c>
      <c r="C14" s="1"/>
      <c r="D14" s="1"/>
      <c r="E14" s="1"/>
      <c r="F14" s="1"/>
      <c r="G14" s="1"/>
      <c r="H14" s="1"/>
    </row>
    <row r="15" spans="1:8" ht="27" x14ac:dyDescent="0.25">
      <c r="A15" s="4" t="s">
        <v>3</v>
      </c>
      <c r="B15" s="19" t="s">
        <v>114</v>
      </c>
      <c r="C15" s="1"/>
      <c r="D15" s="1"/>
      <c r="E15" s="1"/>
      <c r="F15" s="1"/>
      <c r="G15" s="1"/>
      <c r="H15" s="1"/>
    </row>
    <row r="16" spans="1:8" ht="27" x14ac:dyDescent="0.25">
      <c r="A16" s="4" t="s">
        <v>5</v>
      </c>
      <c r="B16" s="19" t="s">
        <v>115</v>
      </c>
      <c r="C16" s="1"/>
      <c r="D16" s="1"/>
      <c r="E16" s="1"/>
      <c r="F16" s="1"/>
      <c r="G16" s="1"/>
      <c r="H16" s="1"/>
    </row>
    <row r="17" spans="1:8" ht="27" x14ac:dyDescent="0.25">
      <c r="A17" s="4" t="s">
        <v>61</v>
      </c>
      <c r="B17" s="19" t="s">
        <v>116</v>
      </c>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34" t="s">
        <v>117</v>
      </c>
      <c r="B20" s="34"/>
      <c r="C20" s="34"/>
      <c r="D20" s="34"/>
      <c r="E20" s="34"/>
      <c r="F20" s="34"/>
      <c r="G20" s="34"/>
      <c r="H20" s="34"/>
    </row>
    <row r="21" spans="1:8" x14ac:dyDescent="0.25">
      <c r="A21" s="1"/>
      <c r="B21" s="1"/>
      <c r="C21" s="1"/>
      <c r="D21" s="1"/>
      <c r="E21" s="1"/>
      <c r="F21" s="1"/>
      <c r="G21" s="1"/>
      <c r="H21" s="1"/>
    </row>
    <row r="22" spans="1:8" ht="337.5" x14ac:dyDescent="0.25">
      <c r="A22" s="12" t="s">
        <v>118</v>
      </c>
      <c r="B22" s="12"/>
      <c r="C22" s="12"/>
      <c r="D22" s="12"/>
      <c r="E22" s="12"/>
      <c r="F22" s="12"/>
      <c r="G22" s="12"/>
      <c r="H22" s="12"/>
    </row>
    <row r="23" spans="1:8" x14ac:dyDescent="0.25">
      <c r="A23" s="12"/>
      <c r="B23" s="12"/>
      <c r="C23" s="12"/>
      <c r="D23" s="12"/>
      <c r="E23" s="12"/>
      <c r="F23" s="12"/>
      <c r="G23" s="12"/>
      <c r="H23" s="12"/>
    </row>
    <row r="24" spans="1:8" x14ac:dyDescent="0.25">
      <c r="A24" s="12"/>
      <c r="B24" s="12"/>
      <c r="C24" s="12"/>
      <c r="D24" s="12"/>
      <c r="E24" s="12"/>
      <c r="F24" s="12"/>
      <c r="G24" s="12"/>
      <c r="H24" s="12"/>
    </row>
    <row r="25" spans="1:8" x14ac:dyDescent="0.25">
      <c r="A25" s="12"/>
      <c r="B25" s="12"/>
      <c r="C25" s="12"/>
      <c r="D25" s="12"/>
      <c r="E25" s="12"/>
      <c r="F25" s="12"/>
      <c r="G25" s="12"/>
      <c r="H25" s="12"/>
    </row>
    <row r="26" spans="1:8" x14ac:dyDescent="0.25">
      <c r="A26" s="12"/>
      <c r="B26" s="12"/>
      <c r="C26" s="12"/>
      <c r="D26" s="12"/>
      <c r="E26" s="12"/>
      <c r="F26" s="12"/>
      <c r="G26" s="12"/>
      <c r="H26" s="12"/>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sheetData>
  <mergeCells count="4">
    <mergeCell ref="A1:H1"/>
    <mergeCell ref="A3:H3"/>
    <mergeCell ref="A11:H11"/>
    <mergeCell ref="A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Break-even</vt:lpstr>
      <vt:lpstr>Anleitung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Sergio Jiménez Canales</cp:lastModifiedBy>
  <dcterms:modified xsi:type="dcterms:W3CDTF">2026-05-10T10:51:36Z</dcterms:modified>
</cp:coreProperties>
</file>