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reak even\"/>
    </mc:Choice>
  </mc:AlternateContent>
  <xr:revisionPtr revIDLastSave="0" documentId="13_ncr:1_{44D6953A-00B4-4967-9778-DA2C5C214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eak-Even 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F39" i="1"/>
  <c r="F38" i="1"/>
  <c r="F37" i="1"/>
  <c r="O36" i="1"/>
  <c r="N36" i="1"/>
  <c r="M36" i="1"/>
  <c r="L36" i="1"/>
  <c r="K36" i="1"/>
  <c r="G32" i="1"/>
  <c r="C32" i="1"/>
  <c r="K12" i="1"/>
  <c r="D48" i="1" l="1"/>
  <c r="B48" i="1"/>
  <c r="O38" i="1"/>
  <c r="O37" i="1"/>
  <c r="O41" i="1"/>
  <c r="O40" i="1"/>
  <c r="O39" i="1"/>
  <c r="N37" i="1"/>
  <c r="N38" i="1"/>
  <c r="N41" i="1"/>
  <c r="N40" i="1"/>
  <c r="N39" i="1"/>
  <c r="M38" i="1"/>
  <c r="M40" i="1"/>
  <c r="M37" i="1"/>
  <c r="M41" i="1"/>
  <c r="M39" i="1"/>
  <c r="L38" i="1"/>
  <c r="L37" i="1"/>
  <c r="L41" i="1"/>
  <c r="L40" i="1"/>
  <c r="L39" i="1"/>
  <c r="K37" i="1"/>
  <c r="K38" i="1"/>
  <c r="K41" i="1"/>
  <c r="K40" i="1"/>
  <c r="K39" i="1"/>
  <c r="G37" i="1"/>
  <c r="G38" i="1"/>
  <c r="K11" i="1"/>
  <c r="K13" i="1" s="1"/>
  <c r="G39" i="1"/>
  <c r="C67" i="1"/>
  <c r="C60" i="1"/>
  <c r="C59" i="1"/>
  <c r="C58" i="1"/>
  <c r="C57" i="1"/>
  <c r="C56" i="1"/>
  <c r="C55" i="1"/>
  <c r="C54" i="1"/>
  <c r="C53" i="1"/>
  <c r="C52" i="1"/>
  <c r="C51" i="1"/>
  <c r="C50" i="1"/>
  <c r="C49" i="1"/>
  <c r="C78" i="1"/>
  <c r="C48" i="1"/>
  <c r="C77" i="1"/>
  <c r="C74" i="1"/>
  <c r="C72" i="1"/>
  <c r="C71" i="1"/>
  <c r="C70" i="1"/>
  <c r="C69" i="1"/>
  <c r="C68" i="1"/>
  <c r="K10" i="1"/>
  <c r="C61" i="1"/>
  <c r="C76" i="1"/>
  <c r="C75" i="1"/>
  <c r="C73" i="1"/>
  <c r="C66" i="1"/>
  <c r="C65" i="1"/>
  <c r="C64" i="1"/>
  <c r="C63" i="1"/>
  <c r="C62" i="1"/>
  <c r="K14" i="1"/>
  <c r="H37" i="1" l="1"/>
  <c r="I37" i="1"/>
  <c r="H38" i="1"/>
  <c r="I38" i="1"/>
  <c r="H39" i="1"/>
  <c r="I39" i="1"/>
  <c r="E48" i="1"/>
  <c r="F48" i="1" s="1"/>
  <c r="K20" i="1"/>
  <c r="K15" i="1"/>
  <c r="K17" i="1"/>
  <c r="G5" i="1" s="1"/>
  <c r="A5" i="1" l="1"/>
  <c r="K18" i="1"/>
  <c r="K16" i="1"/>
  <c r="D5" i="1" s="1"/>
  <c r="A49" i="1"/>
  <c r="K21" i="1"/>
  <c r="M5" i="1" s="1"/>
  <c r="K19" i="1" l="1"/>
  <c r="J5" i="1"/>
  <c r="A50" i="1"/>
  <c r="D49" i="1"/>
  <c r="E49" i="1" s="1"/>
  <c r="B49" i="1"/>
  <c r="F49" i="1" s="1"/>
  <c r="B50" i="1" l="1"/>
  <c r="F50" i="1" s="1"/>
  <c r="D50" i="1"/>
  <c r="E50" i="1" s="1"/>
  <c r="A51" i="1"/>
  <c r="B51" i="1" l="1"/>
  <c r="F51" i="1" s="1"/>
  <c r="D51" i="1"/>
  <c r="E51" i="1" s="1"/>
  <c r="A52" i="1"/>
  <c r="B52" i="1" l="1"/>
  <c r="F52" i="1" s="1"/>
  <c r="D52" i="1"/>
  <c r="E52" i="1" s="1"/>
  <c r="A53" i="1"/>
  <c r="B53" i="1" l="1"/>
  <c r="F53" i="1" s="1"/>
  <c r="D53" i="1"/>
  <c r="E53" i="1" s="1"/>
  <c r="A54" i="1"/>
  <c r="B54" i="1" l="1"/>
  <c r="F54" i="1" s="1"/>
  <c r="D54" i="1"/>
  <c r="E54" i="1" s="1"/>
  <c r="A55" i="1"/>
  <c r="B55" i="1" l="1"/>
  <c r="F55" i="1" s="1"/>
  <c r="D55" i="1"/>
  <c r="E55" i="1" s="1"/>
  <c r="A56" i="1"/>
  <c r="B56" i="1" l="1"/>
  <c r="F56" i="1" s="1"/>
  <c r="D56" i="1"/>
  <c r="E56" i="1" s="1"/>
  <c r="A57" i="1"/>
  <c r="B57" i="1" l="1"/>
  <c r="F57" i="1" s="1"/>
  <c r="D57" i="1"/>
  <c r="E57" i="1" s="1"/>
  <c r="A58" i="1"/>
  <c r="B58" i="1" l="1"/>
  <c r="F58" i="1" s="1"/>
  <c r="D58" i="1"/>
  <c r="E58" i="1" s="1"/>
  <c r="A59" i="1"/>
  <c r="B59" i="1" l="1"/>
  <c r="F59" i="1" s="1"/>
  <c r="D59" i="1"/>
  <c r="E59" i="1" s="1"/>
  <c r="A60" i="1"/>
  <c r="B60" i="1" l="1"/>
  <c r="F60" i="1" s="1"/>
  <c r="D60" i="1"/>
  <c r="E60" i="1" s="1"/>
  <c r="A61" i="1"/>
  <c r="B61" i="1" l="1"/>
  <c r="F61" i="1" s="1"/>
  <c r="D61" i="1"/>
  <c r="E61" i="1" s="1"/>
  <c r="A62" i="1"/>
  <c r="B62" i="1" l="1"/>
  <c r="F62" i="1" s="1"/>
  <c r="D62" i="1"/>
  <c r="E62" i="1" s="1"/>
  <c r="A63" i="1"/>
  <c r="B63" i="1" l="1"/>
  <c r="F63" i="1" s="1"/>
  <c r="D63" i="1"/>
  <c r="E63" i="1" s="1"/>
  <c r="A64" i="1"/>
  <c r="B64" i="1" l="1"/>
  <c r="F64" i="1" s="1"/>
  <c r="D64" i="1"/>
  <c r="E64" i="1" s="1"/>
  <c r="A65" i="1"/>
  <c r="B65" i="1" l="1"/>
  <c r="F65" i="1" s="1"/>
  <c r="D65" i="1"/>
  <c r="E65" i="1" s="1"/>
  <c r="A66" i="1"/>
  <c r="B66" i="1" l="1"/>
  <c r="F66" i="1" s="1"/>
  <c r="D66" i="1"/>
  <c r="E66" i="1" s="1"/>
  <c r="A67" i="1"/>
  <c r="A68" i="1" l="1"/>
  <c r="B67" i="1"/>
  <c r="F67" i="1" s="1"/>
  <c r="D67" i="1"/>
  <c r="E67" i="1" s="1"/>
  <c r="B68" i="1" l="1"/>
  <c r="F68" i="1" s="1"/>
  <c r="D68" i="1"/>
  <c r="E68" i="1" s="1"/>
  <c r="A69" i="1"/>
  <c r="D69" i="1" l="1"/>
  <c r="E69" i="1" s="1"/>
  <c r="A70" i="1"/>
  <c r="B69" i="1"/>
  <c r="D70" i="1" l="1"/>
  <c r="E70" i="1" s="1"/>
  <c r="B70" i="1"/>
  <c r="F70" i="1" s="1"/>
  <c r="A71" i="1"/>
  <c r="F69" i="1"/>
  <c r="A72" i="1" l="1"/>
  <c r="B71" i="1"/>
  <c r="F71" i="1" s="1"/>
  <c r="D71" i="1"/>
  <c r="E71" i="1" s="1"/>
  <c r="B72" i="1" l="1"/>
  <c r="F72" i="1" s="1"/>
  <c r="D72" i="1"/>
  <c r="E72" i="1" s="1"/>
  <c r="A73" i="1"/>
  <c r="A74" i="1" l="1"/>
  <c r="B73" i="1"/>
  <c r="F73" i="1" s="1"/>
  <c r="D73" i="1"/>
  <c r="E73" i="1" s="1"/>
  <c r="D74" i="1" l="1"/>
  <c r="E74" i="1" s="1"/>
  <c r="A75" i="1"/>
  <c r="B74" i="1"/>
  <c r="B75" i="1" l="1"/>
  <c r="D75" i="1"/>
  <c r="E75" i="1" s="1"/>
  <c r="A76" i="1"/>
  <c r="F74" i="1"/>
  <c r="B76" i="1" l="1"/>
  <c r="D76" i="1"/>
  <c r="E76" i="1" s="1"/>
  <c r="A77" i="1"/>
  <c r="F75" i="1"/>
  <c r="B77" i="1" l="1"/>
  <c r="D77" i="1"/>
  <c r="E77" i="1" s="1"/>
  <c r="A78" i="1"/>
  <c r="F76" i="1"/>
  <c r="B78" i="1" l="1"/>
  <c r="F78" i="1" s="1"/>
  <c r="D78" i="1"/>
  <c r="E78" i="1" s="1"/>
  <c r="F77" i="1"/>
</calcChain>
</file>

<file path=xl/sharedStrings.xml><?xml version="1.0" encoding="utf-8"?>
<sst xmlns="http://schemas.openxmlformats.org/spreadsheetml/2006/main" count="172" uniqueCount="137">
  <si>
    <t>Break-Even Rechner Vorlage</t>
  </si>
  <si>
    <t>Gewinnschwelle, Deckungsbeitrag, Szenarien und Preisprüfung in einer übersichtlichen Excel-Vorlage</t>
  </si>
  <si>
    <t>Break-even-Menge</t>
  </si>
  <si>
    <t>Break-even-Umsatz</t>
  </si>
  <si>
    <t>Gewinn bei Planmenge</t>
  </si>
  <si>
    <t>Sicherheitsabstand</t>
  </si>
  <si>
    <t>Status</t>
  </si>
  <si>
    <t>Einheiten bis zur Gewinnzone</t>
  </si>
  <si>
    <t>Umsatz zur Kostendeckung</t>
  </si>
  <si>
    <t>Ergebnis mit aktueller Planung</t>
  </si>
  <si>
    <t>Einheiten über/unter Break-even</t>
  </si>
  <si>
    <t>automatisch aus Planmenge berechnet</t>
  </si>
  <si>
    <t>Eingaben</t>
  </si>
  <si>
    <t>Kernergebnisse</t>
  </si>
  <si>
    <t>Unternehmen / Projekt</t>
  </si>
  <si>
    <t>Nordlicht Keramikstudio</t>
  </si>
  <si>
    <t>frei anpassbar</t>
  </si>
  <si>
    <t>Gesamte Fixkosten</t>
  </si>
  <si>
    <t>€</t>
  </si>
  <si>
    <t>Summe der Fixkosten</t>
  </si>
  <si>
    <t>Kurzanleitung</t>
  </si>
  <si>
    <t>Produkt / Leistung</t>
  </si>
  <si>
    <t>Handgefertigter Becher</t>
  </si>
  <si>
    <t>Beispieldaten ersetzen</t>
  </si>
  <si>
    <t>Variable Kosten je Einheit</t>
  </si>
  <si>
    <t>Summe der variablen Stückkosten</t>
  </si>
  <si>
    <t>1</t>
  </si>
  <si>
    <t>Gelbe Felder anpassen</t>
  </si>
  <si>
    <t>Preis, Absatzmenge, Fixkosten und variable Kosten ersetzen.</t>
  </si>
  <si>
    <t>Zeitraum</t>
  </si>
  <si>
    <t>Monat</t>
  </si>
  <si>
    <t>Monat / Quartal / Jahr</t>
  </si>
  <si>
    <t>Verkaufspreis je Einheit</t>
  </si>
  <si>
    <t>aus Eingaben</t>
  </si>
  <si>
    <t>2</t>
  </si>
  <si>
    <t>Ergebnis prüfen</t>
  </si>
  <si>
    <t>Break-even-Menge, Gewinn und Sicherheitsabstand oben ablesen.</t>
  </si>
  <si>
    <t>Geplante Absatzmenge</t>
  </si>
  <si>
    <t>Stück</t>
  </si>
  <si>
    <t>erwartete Verkäufe</t>
  </si>
  <si>
    <t>Deckungsbeitrag je Einheit</t>
  </si>
  <si>
    <t>Preis minus variable Kosten</t>
  </si>
  <si>
    <t>3</t>
  </si>
  <si>
    <t>Szenarien nutzen</t>
  </si>
  <si>
    <t>Preis-, Kosten- und Mengenänderungen unten simulieren.</t>
  </si>
  <si>
    <t>Maximale Kapazität</t>
  </si>
  <si>
    <t>realistisch herstellbar</t>
  </si>
  <si>
    <t>Deckungsbeitragsquote</t>
  </si>
  <si>
    <t>%</t>
  </si>
  <si>
    <t>Deckungsbeitrag / Preis</t>
  </si>
  <si>
    <t>4</t>
  </si>
  <si>
    <t>Diagramm lesen</t>
  </si>
  <si>
    <t>Der Schnittpunkt von Umsatz und Gesamtkosten ist die Gewinnschwelle.</t>
  </si>
  <si>
    <t>netto</t>
  </si>
  <si>
    <t>Fixkosten / Deckungsbeitrag</t>
  </si>
  <si>
    <t>5</t>
  </si>
  <si>
    <t>Warnung beachten</t>
  </si>
  <si>
    <t>Ist der Deckungsbeitrag ≤ 0, gibt es keinen sinnvollen Break-even.</t>
  </si>
  <si>
    <t>Zielgewinn</t>
  </si>
  <si>
    <t>optional für Mindestpreis</t>
  </si>
  <si>
    <t>Break-even-Menge x Preis</t>
  </si>
  <si>
    <t>Planumsatz minus Gesamtkosten</t>
  </si>
  <si>
    <t>Hinweis: Nur gelbe Zellen bearbeiten. Alle weißen Ergebnisfelder sind formelgesteuert. Die Beispielwerte zeigen eine kleine Keramikproduktion; ersetze sie durch deine eigenen Zahlen.</t>
  </si>
  <si>
    <t>Planmenge minus Break-even-Menge</t>
  </si>
  <si>
    <t>Sicherheitsabstand %</t>
  </si>
  <si>
    <t>Abstand im Verhältnis zur Planmenge</t>
  </si>
  <si>
    <t>Preis für Zielgewinn</t>
  </si>
  <si>
    <t>Mindestpreis bei geplanter Menge</t>
  </si>
  <si>
    <t>automatische Einschätzung</t>
  </si>
  <si>
    <t>Fixkosten pro Zeitraum</t>
  </si>
  <si>
    <t>Kostenart</t>
  </si>
  <si>
    <t>Kategorie</t>
  </si>
  <si>
    <t>Betrag</t>
  </si>
  <si>
    <t>Notiz</t>
  </si>
  <si>
    <t>Miete / Werkstatt</t>
  </si>
  <si>
    <t>Raum</t>
  </si>
  <si>
    <t>unabhängig von Stückzahl</t>
  </si>
  <si>
    <t>Ton / Rohmaterial</t>
  </si>
  <si>
    <t>Material</t>
  </si>
  <si>
    <t>pro Becher</t>
  </si>
  <si>
    <t>Gehälter / Unternehmerlohn</t>
  </si>
  <si>
    <t>Personal</t>
  </si>
  <si>
    <t>fixer Monatsbetrag</t>
  </si>
  <si>
    <t>Glasur &amp; Verbrauch</t>
  </si>
  <si>
    <t>Software &amp; Tools</t>
  </si>
  <si>
    <t>Verwaltung</t>
  </si>
  <si>
    <t>Shop, Buchhaltung, Planung</t>
  </si>
  <si>
    <t>Verpackung</t>
  </si>
  <si>
    <t>Logistik</t>
  </si>
  <si>
    <t>Marketing-Grundbudget</t>
  </si>
  <si>
    <t>Vertrieb</t>
  </si>
  <si>
    <t>laufende Kampagnen</t>
  </si>
  <si>
    <t>Zahlungsgebühr</t>
  </si>
  <si>
    <t>pro Bestellung</t>
  </si>
  <si>
    <t>Versicherungen</t>
  </si>
  <si>
    <t>Betrieb</t>
  </si>
  <si>
    <t>monatlicher Anteil</t>
  </si>
  <si>
    <t>Versandanteil</t>
  </si>
  <si>
    <t>durchschnittlich</t>
  </si>
  <si>
    <t>Buchhaltung / Verwaltung</t>
  </si>
  <si>
    <t>Dienstleister</t>
  </si>
  <si>
    <t>Produktionshilfen</t>
  </si>
  <si>
    <t>Fertigung</t>
  </si>
  <si>
    <t>pro Einheit</t>
  </si>
  <si>
    <t>Sonstige Fixkosten</t>
  </si>
  <si>
    <t>Sonstiges</t>
  </si>
  <si>
    <t>Reserve</t>
  </si>
  <si>
    <t>Sonstige variable Kosten</t>
  </si>
  <si>
    <t>Variable Kosten gesamt</t>
  </si>
  <si>
    <t>Szenarioanalyse</t>
  </si>
  <si>
    <t>Sensitivität: Break-even-Menge nach Preis und Fixkosten</t>
  </si>
  <si>
    <t>Szenario</t>
  </si>
  <si>
    <t>Preisänderung</t>
  </si>
  <si>
    <t>Var. Kostenänderung</t>
  </si>
  <si>
    <t>Fixkostenänderung</t>
  </si>
  <si>
    <t>Absatzmenge</t>
  </si>
  <si>
    <t>Preis</t>
  </si>
  <si>
    <t>Deckungsbeitrag</t>
  </si>
  <si>
    <t>Gewinn</t>
  </si>
  <si>
    <t>Fixkosten \ Preis</t>
  </si>
  <si>
    <t>Lesart</t>
  </si>
  <si>
    <t>Vorsichtig</t>
  </si>
  <si>
    <t>-20%</t>
  </si>
  <si>
    <t>niedriger Wert = besser</t>
  </si>
  <si>
    <t>Basis</t>
  </si>
  <si>
    <t>-10%</t>
  </si>
  <si>
    <t>Wachstum</t>
  </si>
  <si>
    <t>+10%</t>
  </si>
  <si>
    <t>Interpretation: Vergleiche, wie stark sich die Gewinnschwelle verändert, wenn Preis, variable Kosten oder Fixkosten abweichen. Die Spalte Gewinn zeigt, ob die Absatzmenge des Szenarios die Fixkosten tatsächlich deckt.</t>
  </si>
  <si>
    <t>+20%</t>
  </si>
  <si>
    <t>Daten für Diagramm</t>
  </si>
  <si>
    <t>Menge</t>
  </si>
  <si>
    <t>Umsatz</t>
  </si>
  <si>
    <t>Fixkosten</t>
  </si>
  <si>
    <t>Variable Kosten</t>
  </si>
  <si>
    <t>Gesamtkosten</t>
  </si>
  <si>
    <t>Tipp: Für einen Preis-Check den Wert in B15 ändern. Für Kostendruck die variablen Einzelkosten in G25:G31 oder Fixkosten in C25:C31 anpassen. Das Dashboard aktualisiert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</si>
</sst>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\(#,##0\);\-"/>
    <numFmt numFmtId="165" formatCode="#,##0\ \€;[Red]\(#,##0\ \€\);\-"/>
    <numFmt numFmtId="166" formatCode="#,##0.00\ \€;[Red]\(#,##0.00\ \€\);\-"/>
    <numFmt numFmtId="167" formatCode="0.0%;[Red]\(0.0%\);\-"/>
  </numFmts>
  <fonts count="16" x14ac:knownFonts="1">
    <font>
      <sz val="11"/>
      <name val="Carlito"/>
    </font>
    <font>
      <b/>
      <sz val="20"/>
      <color rgb="FFFFFFFF"/>
      <name val="Carlito"/>
    </font>
    <font>
      <sz val="10"/>
      <color rgb="FFFFFFFF"/>
      <name val="Carlito"/>
    </font>
    <font>
      <sz val="10"/>
      <color rgb="FF000000"/>
      <name val="Aptos"/>
    </font>
    <font>
      <b/>
      <sz val="10"/>
      <color rgb="FFFFFFFF"/>
      <name val="Aptos"/>
    </font>
    <font>
      <b/>
      <sz val="17"/>
      <color rgb="FF00484E"/>
      <name val="Aptos"/>
    </font>
    <font>
      <sz val="9"/>
      <color rgb="FF64748B"/>
      <name val="Aptos"/>
    </font>
    <font>
      <b/>
      <sz val="12"/>
      <color rgb="FFFFFFFF"/>
      <name val="Aptos"/>
    </font>
    <font>
      <b/>
      <sz val="10"/>
      <color rgb="FF00484E"/>
      <name val="Aptos"/>
    </font>
    <font>
      <b/>
      <sz val="10"/>
      <color rgb="FF0000FF"/>
      <name val="Aptos"/>
    </font>
    <font>
      <sz val="10"/>
      <color rgb="FF64748B"/>
      <name val="Aptos"/>
    </font>
    <font>
      <sz val="10"/>
      <color rgb="FF7C4A03"/>
      <name val="Aptos"/>
    </font>
    <font>
      <b/>
      <sz val="10"/>
      <color rgb="FF000000"/>
      <name val="Aptos"/>
    </font>
    <font>
      <sz val="10"/>
      <color rgb="FF00484E"/>
      <name val="Aptos"/>
    </font>
    <font>
      <sz val="9"/>
      <color rgb="FF7C4A03"/>
      <name val="Aptos"/>
    </font>
    <font>
      <sz val="11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7FAFA"/>
      </patternFill>
    </fill>
    <fill>
      <patternFill patternType="solid">
        <fgColor rgb="FFFFFFFF"/>
      </patternFill>
    </fill>
    <fill>
      <patternFill patternType="solid">
        <fgColor rgb="FFE8F1F2"/>
      </patternFill>
    </fill>
    <fill>
      <patternFill patternType="solid">
        <fgColor rgb="FFF2F6F8"/>
      </patternFill>
    </fill>
    <fill>
      <patternFill patternType="solid">
        <fgColor rgb="FFFFF2CC"/>
      </patternFill>
    </fill>
    <fill>
      <patternFill patternType="solid">
        <fgColor rgb="FFFFF7E6"/>
      </patternFill>
    </fill>
    <fill>
      <patternFill patternType="solid">
        <fgColor rgb="FFF5B642"/>
      </patternFill>
    </fill>
    <fill>
      <patternFill patternType="solid">
        <fgColor rgb="FFEEF7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/>
  </cellStyleXfs>
  <cellXfs count="46">
    <xf numFmtId="0" fontId="0" fillId="0" borderId="0" xfId="0"/>
    <xf numFmtId="0" fontId="3" fillId="4" borderId="0" xfId="1" applyFont="1" applyFill="1" applyAlignment="1">
      <alignment vertical="center"/>
    </xf>
    <xf numFmtId="0" fontId="3" fillId="5" borderId="0" xfId="1" applyFont="1" applyFill="1" applyAlignment="1">
      <alignment vertical="center" wrapText="1"/>
    </xf>
    <xf numFmtId="0" fontId="8" fillId="7" borderId="0" xfId="1" applyFont="1" applyFill="1" applyAlignment="1">
      <alignment vertical="center" wrapText="1"/>
    </xf>
    <xf numFmtId="0" fontId="10" fillId="7" borderId="0" xfId="1" applyFont="1" applyFill="1" applyAlignment="1">
      <alignment horizontal="center" vertical="center" wrapText="1"/>
    </xf>
    <xf numFmtId="0" fontId="6" fillId="5" borderId="0" xfId="1" applyFont="1" applyFill="1" applyAlignment="1">
      <alignment vertical="center" wrapText="1"/>
    </xf>
    <xf numFmtId="0" fontId="10" fillId="5" borderId="0" xfId="1" applyFont="1" applyFill="1" applyAlignment="1">
      <alignment horizontal="center" vertical="center" wrapText="1"/>
    </xf>
    <xf numFmtId="0" fontId="9" fillId="8" borderId="0" xfId="1" applyFont="1" applyFill="1" applyAlignment="1">
      <alignment horizontal="right" vertical="center" wrapText="1"/>
    </xf>
    <xf numFmtId="165" fontId="9" fillId="8" borderId="0" xfId="1" applyNumberFormat="1" applyFont="1" applyFill="1" applyAlignment="1">
      <alignment horizontal="right" vertical="center" wrapText="1"/>
    </xf>
    <xf numFmtId="166" fontId="9" fillId="8" borderId="0" xfId="1" applyNumberFormat="1" applyFont="1" applyFill="1" applyAlignment="1">
      <alignment horizontal="right" vertical="center" wrapText="1"/>
    </xf>
    <xf numFmtId="0" fontId="12" fillId="5" borderId="0" xfId="1" applyFont="1" applyFill="1" applyAlignment="1">
      <alignment horizontal="right" vertical="center" wrapText="1"/>
    </xf>
    <xf numFmtId="166" fontId="12" fillId="5" borderId="0" xfId="1" applyNumberFormat="1" applyFont="1" applyFill="1" applyAlignment="1">
      <alignment horizontal="right" vertical="center" wrapText="1"/>
    </xf>
    <xf numFmtId="167" fontId="12" fillId="5" borderId="0" xfId="1" applyNumberFormat="1" applyFont="1" applyFill="1" applyAlignment="1">
      <alignment horizontal="right" vertical="center" wrapText="1"/>
    </xf>
    <xf numFmtId="164" fontId="12" fillId="5" borderId="0" xfId="1" applyNumberFormat="1" applyFont="1" applyFill="1" applyAlignment="1">
      <alignment horizontal="right" vertical="center" wrapText="1"/>
    </xf>
    <xf numFmtId="165" fontId="12" fillId="5" borderId="0" xfId="1" applyNumberFormat="1" applyFont="1" applyFill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167" fontId="9" fillId="8" borderId="0" xfId="1" applyNumberFormat="1" applyFont="1" applyFill="1" applyAlignment="1">
      <alignment horizontal="right" vertical="center" wrapText="1"/>
    </xf>
    <xf numFmtId="164" fontId="9" fillId="8" borderId="0" xfId="1" applyNumberFormat="1" applyFont="1" applyFill="1" applyAlignment="1">
      <alignment horizontal="right" vertical="center" wrapText="1"/>
    </xf>
    <xf numFmtId="166" fontId="3" fillId="5" borderId="0" xfId="1" applyNumberFormat="1" applyFont="1" applyFill="1" applyAlignment="1">
      <alignment horizontal="right" vertical="center" wrapText="1"/>
    </xf>
    <xf numFmtId="164" fontId="3" fillId="5" borderId="0" xfId="1" applyNumberFormat="1" applyFont="1" applyFill="1" applyAlignment="1">
      <alignment horizontal="right" vertical="center" wrapText="1"/>
    </xf>
    <xf numFmtId="165" fontId="3" fillId="5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 wrapText="1"/>
    </xf>
    <xf numFmtId="0" fontId="8" fillId="10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8" fillId="6" borderId="0" xfId="1" applyFont="1" applyFill="1" applyAlignment="1">
      <alignment vertical="center" wrapText="1"/>
    </xf>
    <xf numFmtId="165" fontId="8" fillId="6" borderId="0" xfId="1" applyNumberFormat="1" applyFont="1" applyFill="1" applyAlignment="1">
      <alignment vertical="center" wrapText="1"/>
    </xf>
    <xf numFmtId="166" fontId="8" fillId="6" borderId="0" xfId="1" applyNumberFormat="1" applyFont="1" applyFill="1" applyAlignment="1">
      <alignment vertical="center" wrapText="1"/>
    </xf>
    <xf numFmtId="166" fontId="4" fillId="3" borderId="0" xfId="1" applyNumberFormat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 vertical="center" wrapText="1"/>
    </xf>
    <xf numFmtId="164" fontId="3" fillId="5" borderId="0" xfId="1" applyNumberFormat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4" fontId="5" fillId="5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165" fontId="5" fillId="5" borderId="0" xfId="1" applyNumberFormat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11" fillId="9" borderId="0" xfId="1" applyFont="1" applyFill="1" applyAlignment="1">
      <alignment vertical="center" wrapText="1"/>
    </xf>
    <xf numFmtId="0" fontId="4" fillId="3" borderId="0" xfId="1" applyFont="1" applyFill="1" applyAlignment="1">
      <alignment horizontal="left" vertical="center" wrapText="1"/>
    </xf>
    <xf numFmtId="0" fontId="3" fillId="5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13" fillId="11" borderId="0" xfId="1" applyFont="1" applyFill="1" applyAlignment="1">
      <alignment vertical="center" wrapText="1"/>
    </xf>
    <xf numFmtId="0" fontId="14" fillId="9" borderId="0" xfId="1" applyFont="1" applyFill="1" applyAlignment="1">
      <alignment horizontal="center" vertical="center" wrapText="1"/>
    </xf>
    <xf numFmtId="0" fontId="13" fillId="6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0" fillId="7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7">
    <dxf>
      <font>
        <b/>
        <color rgb="FF0F766E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F766E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color rgb="FF0F766E"/>
      </font>
    </dxf>
    <dxf>
      <font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Umsatz</c:v>
          </c:tx>
          <c:cat>
            <c:numRef>
              <c:f>'Break-Even Rechner'!$A$48:$A$78</c:f>
              <c:numCache>
                <c:formatCode>General</c:formatCode>
                <c:ptCount val="31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</c:numCache>
            </c:numRef>
          </c:cat>
          <c:val>
            <c:numRef>
              <c:f>'Break-Even Rechner'!$B$48:$B$78</c:f>
              <c:numCache>
                <c:formatCode>General</c:formatCode>
                <c:ptCount val="31"/>
                <c:pt idx="0">
                  <c:v>0</c:v>
                </c:pt>
                <c:pt idx="1">
                  <c:v>960</c:v>
                </c:pt>
                <c:pt idx="2">
                  <c:v>1920</c:v>
                </c:pt>
                <c:pt idx="3">
                  <c:v>2880</c:v>
                </c:pt>
                <c:pt idx="4">
                  <c:v>3840</c:v>
                </c:pt>
                <c:pt idx="5">
                  <c:v>4800</c:v>
                </c:pt>
                <c:pt idx="6">
                  <c:v>5760</c:v>
                </c:pt>
                <c:pt idx="7">
                  <c:v>6720</c:v>
                </c:pt>
                <c:pt idx="8">
                  <c:v>7680</c:v>
                </c:pt>
                <c:pt idx="9">
                  <c:v>8640</c:v>
                </c:pt>
                <c:pt idx="10">
                  <c:v>9600</c:v>
                </c:pt>
                <c:pt idx="11">
                  <c:v>10560</c:v>
                </c:pt>
                <c:pt idx="12">
                  <c:v>11520</c:v>
                </c:pt>
                <c:pt idx="13">
                  <c:v>12480</c:v>
                </c:pt>
                <c:pt idx="14">
                  <c:v>13440</c:v>
                </c:pt>
                <c:pt idx="15">
                  <c:v>14400</c:v>
                </c:pt>
                <c:pt idx="16">
                  <c:v>15360</c:v>
                </c:pt>
                <c:pt idx="17">
                  <c:v>16320</c:v>
                </c:pt>
                <c:pt idx="18">
                  <c:v>17280</c:v>
                </c:pt>
                <c:pt idx="19">
                  <c:v>18240</c:v>
                </c:pt>
                <c:pt idx="20">
                  <c:v>19200</c:v>
                </c:pt>
                <c:pt idx="21">
                  <c:v>20160</c:v>
                </c:pt>
                <c:pt idx="22">
                  <c:v>21120</c:v>
                </c:pt>
                <c:pt idx="23">
                  <c:v>22080</c:v>
                </c:pt>
                <c:pt idx="24">
                  <c:v>23040</c:v>
                </c:pt>
                <c:pt idx="25">
                  <c:v>24000</c:v>
                </c:pt>
                <c:pt idx="26">
                  <c:v>24960</c:v>
                </c:pt>
                <c:pt idx="27">
                  <c:v>25920</c:v>
                </c:pt>
                <c:pt idx="28">
                  <c:v>26880</c:v>
                </c:pt>
                <c:pt idx="29">
                  <c:v>27840</c:v>
                </c:pt>
                <c:pt idx="30">
                  <c:v>28800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424-A401-997D480F829B}"/>
            </c:ext>
          </c:extLst>
        </c:ser>
        <c:ser>
          <c:idx val="1"/>
          <c:order val="1"/>
          <c:tx>
            <c:v>Gesamtkosten</c:v>
          </c:tx>
          <c:cat>
            <c:numRef>
              <c:f>'Break-Even Rechner'!$A$48:$A$78</c:f>
              <c:numCache>
                <c:formatCode>General</c:formatCode>
                <c:ptCount val="31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</c:numCache>
            </c:numRef>
          </c:cat>
          <c:val>
            <c:numRef>
              <c:f>'Break-Even Rechner'!$E$48:$E$78</c:f>
              <c:numCache>
                <c:formatCode>General</c:formatCode>
                <c:ptCount val="31"/>
                <c:pt idx="0">
                  <c:v>8200</c:v>
                </c:pt>
                <c:pt idx="1">
                  <c:v>8627.5</c:v>
                </c:pt>
                <c:pt idx="2">
                  <c:v>9055</c:v>
                </c:pt>
                <c:pt idx="3">
                  <c:v>9482.5</c:v>
                </c:pt>
                <c:pt idx="4">
                  <c:v>9910</c:v>
                </c:pt>
                <c:pt idx="5">
                  <c:v>10337.5</c:v>
                </c:pt>
                <c:pt idx="6">
                  <c:v>10765</c:v>
                </c:pt>
                <c:pt idx="7">
                  <c:v>11192.5</c:v>
                </c:pt>
                <c:pt idx="8">
                  <c:v>11620</c:v>
                </c:pt>
                <c:pt idx="9">
                  <c:v>12047.5</c:v>
                </c:pt>
                <c:pt idx="10">
                  <c:v>12475</c:v>
                </c:pt>
                <c:pt idx="11">
                  <c:v>12902.5</c:v>
                </c:pt>
                <c:pt idx="12">
                  <c:v>13330</c:v>
                </c:pt>
                <c:pt idx="13">
                  <c:v>13757.5</c:v>
                </c:pt>
                <c:pt idx="14">
                  <c:v>14185</c:v>
                </c:pt>
                <c:pt idx="15">
                  <c:v>14612.5</c:v>
                </c:pt>
                <c:pt idx="16">
                  <c:v>15040</c:v>
                </c:pt>
                <c:pt idx="17">
                  <c:v>15467.5</c:v>
                </c:pt>
                <c:pt idx="18">
                  <c:v>15895</c:v>
                </c:pt>
                <c:pt idx="19">
                  <c:v>16322.5</c:v>
                </c:pt>
                <c:pt idx="20">
                  <c:v>16750</c:v>
                </c:pt>
                <c:pt idx="21">
                  <c:v>17177.5</c:v>
                </c:pt>
                <c:pt idx="22">
                  <c:v>17605</c:v>
                </c:pt>
                <c:pt idx="23">
                  <c:v>18032.5</c:v>
                </c:pt>
                <c:pt idx="24">
                  <c:v>18460</c:v>
                </c:pt>
                <c:pt idx="25">
                  <c:v>18887.5</c:v>
                </c:pt>
                <c:pt idx="26">
                  <c:v>19315</c:v>
                </c:pt>
                <c:pt idx="27">
                  <c:v>19742.5</c:v>
                </c:pt>
                <c:pt idx="28">
                  <c:v>20170</c:v>
                </c:pt>
                <c:pt idx="29">
                  <c:v>20597.5</c:v>
                </c:pt>
                <c:pt idx="30">
                  <c:v>21025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424-A401-997D480F829B}"/>
            </c:ext>
          </c:extLst>
        </c:ser>
        <c:ser>
          <c:idx val="2"/>
          <c:order val="2"/>
          <c:tx>
            <c:v>Gewinn</c:v>
          </c:tx>
          <c:cat>
            <c:numRef>
              <c:f>'Break-Even Rechner'!$A$48:$A$78</c:f>
              <c:numCache>
                <c:formatCode>General</c:formatCode>
                <c:ptCount val="31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</c:numCache>
            </c:numRef>
          </c:cat>
          <c:val>
            <c:numRef>
              <c:f>'Break-Even Rechner'!$F$48:$F$78</c:f>
              <c:numCache>
                <c:formatCode>General</c:formatCode>
                <c:ptCount val="31"/>
                <c:pt idx="0">
                  <c:v>-8200</c:v>
                </c:pt>
                <c:pt idx="1">
                  <c:v>-7667.5</c:v>
                </c:pt>
                <c:pt idx="2">
                  <c:v>-7135</c:v>
                </c:pt>
                <c:pt idx="3">
                  <c:v>-6602.5</c:v>
                </c:pt>
                <c:pt idx="4">
                  <c:v>-6070</c:v>
                </c:pt>
                <c:pt idx="5">
                  <c:v>-5537.5</c:v>
                </c:pt>
                <c:pt idx="6">
                  <c:v>-5005</c:v>
                </c:pt>
                <c:pt idx="7">
                  <c:v>-4472.5</c:v>
                </c:pt>
                <c:pt idx="8">
                  <c:v>-3940</c:v>
                </c:pt>
                <c:pt idx="9">
                  <c:v>-3407.5</c:v>
                </c:pt>
                <c:pt idx="10">
                  <c:v>-2875</c:v>
                </c:pt>
                <c:pt idx="11">
                  <c:v>-2342.5</c:v>
                </c:pt>
                <c:pt idx="12">
                  <c:v>-1810</c:v>
                </c:pt>
                <c:pt idx="13">
                  <c:v>-1277.5</c:v>
                </c:pt>
                <c:pt idx="14">
                  <c:v>-745</c:v>
                </c:pt>
                <c:pt idx="15">
                  <c:v>-212.5</c:v>
                </c:pt>
                <c:pt idx="16">
                  <c:v>320</c:v>
                </c:pt>
                <c:pt idx="17">
                  <c:v>852.5</c:v>
                </c:pt>
                <c:pt idx="18">
                  <c:v>1385</c:v>
                </c:pt>
                <c:pt idx="19">
                  <c:v>1917.5</c:v>
                </c:pt>
                <c:pt idx="20">
                  <c:v>2450</c:v>
                </c:pt>
                <c:pt idx="21">
                  <c:v>2982.5</c:v>
                </c:pt>
                <c:pt idx="22">
                  <c:v>3515</c:v>
                </c:pt>
                <c:pt idx="23">
                  <c:v>4047.5</c:v>
                </c:pt>
                <c:pt idx="24">
                  <c:v>4580</c:v>
                </c:pt>
                <c:pt idx="25">
                  <c:v>5112.5</c:v>
                </c:pt>
                <c:pt idx="26">
                  <c:v>5645</c:v>
                </c:pt>
                <c:pt idx="27">
                  <c:v>6177.5</c:v>
                </c:pt>
                <c:pt idx="28">
                  <c:v>6710</c:v>
                </c:pt>
                <c:pt idx="29">
                  <c:v>7242.5</c:v>
                </c:pt>
                <c:pt idx="30">
                  <c:v>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8A-4424-A401-997D480F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de-DE"/>
                  <a:t>Menge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de-DE"/>
                  <a:t>Betrag (€)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Gewinn</c:v>
          </c:tx>
          <c:invertIfNegative val="1"/>
          <c:cat>
            <c:strRef>
              <c:f>'Break-Even Rechner'!$A$37:$A$39</c:f>
              <c:strCache>
                <c:ptCount val="3"/>
                <c:pt idx="0">
                  <c:v>Vorsichtig</c:v>
                </c:pt>
                <c:pt idx="1">
                  <c:v>Basis</c:v>
                </c:pt>
                <c:pt idx="2">
                  <c:v>Wachstum</c:v>
                </c:pt>
              </c:strCache>
            </c:strRef>
          </c:cat>
          <c:val>
            <c:numRef>
              <c:f>'Break-Even Rechner'!$I$37:$I$39</c:f>
              <c:numCache>
                <c:formatCode>General</c:formatCode>
                <c:ptCount val="3"/>
                <c:pt idx="0">
                  <c:v>-1163.5</c:v>
                </c:pt>
                <c:pt idx="1">
                  <c:v>2805</c:v>
                </c:pt>
                <c:pt idx="2">
                  <c:v>6293.1250000000036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D-45D8-8120-5867E267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45</xdr:row>
      <xdr:rowOff>0</xdr:rowOff>
    </xdr:from>
    <xdr:to>
      <xdr:col>17</xdr:col>
      <xdr:colOff>0</xdr:colOff>
      <xdr:row>66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67</xdr:row>
      <xdr:rowOff>0</xdr:rowOff>
    </xdr:from>
    <xdr:to>
      <xdr:col>17</xdr:col>
      <xdr:colOff>0</xdr:colOff>
      <xdr:row>82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E12" sqref="E12"/>
    </sheetView>
  </sheetViews>
  <sheetFormatPr baseColWidth="10" defaultColWidth="9" defaultRowHeight="15" x14ac:dyDescent="0.25"/>
  <cols>
    <col min="1" max="1" width="20.5" bestFit="1" customWidth="1"/>
    <col min="2" max="2" width="19.25" bestFit="1" customWidth="1"/>
    <col min="3" max="3" width="8.5" customWidth="1"/>
    <col min="4" max="4" width="19.5" bestFit="1" customWidth="1"/>
    <col min="5" max="5" width="18.75" bestFit="1" customWidth="1"/>
    <col min="6" max="6" width="7.875" bestFit="1" customWidth="1"/>
    <col min="7" max="7" width="7.5" customWidth="1"/>
    <col min="8" max="8" width="14.625" bestFit="1" customWidth="1"/>
    <col min="9" max="9" width="7.125" bestFit="1" customWidth="1"/>
    <col min="10" max="10" width="20.875" bestFit="1" customWidth="1"/>
    <col min="11" max="11" width="10" bestFit="1" customWidth="1"/>
    <col min="12" max="12" width="6.125" bestFit="1" customWidth="1"/>
    <col min="13" max="13" width="25.125" bestFit="1" customWidth="1"/>
    <col min="14" max="14" width="6.125" bestFit="1" customWidth="1"/>
    <col min="15" max="15" width="18.25" bestFit="1" customWidth="1"/>
    <col min="16" max="17" width="28" customWidth="1"/>
  </cols>
  <sheetData>
    <row r="1" spans="1:17" ht="26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1" t="s">
        <v>2</v>
      </c>
      <c r="B4" s="31"/>
      <c r="C4" s="31"/>
      <c r="D4" s="31" t="s">
        <v>3</v>
      </c>
      <c r="E4" s="31"/>
      <c r="F4" s="31"/>
      <c r="G4" s="31" t="s">
        <v>4</v>
      </c>
      <c r="H4" s="31"/>
      <c r="I4" s="31"/>
      <c r="J4" s="31" t="s">
        <v>5</v>
      </c>
      <c r="K4" s="31"/>
      <c r="L4" s="31"/>
      <c r="M4" s="31" t="s">
        <v>6</v>
      </c>
      <c r="N4" s="31"/>
      <c r="O4" s="31"/>
      <c r="P4" s="31"/>
      <c r="Q4" s="31"/>
    </row>
    <row r="5" spans="1:17" x14ac:dyDescent="0.25">
      <c r="A5" s="32">
        <f>K15</f>
        <v>462</v>
      </c>
      <c r="B5" s="32"/>
      <c r="C5" s="32"/>
      <c r="D5" s="34">
        <f>K16</f>
        <v>14784</v>
      </c>
      <c r="E5" s="34"/>
      <c r="F5" s="34"/>
      <c r="G5" s="34">
        <f>K17</f>
        <v>2805</v>
      </c>
      <c r="H5" s="34"/>
      <c r="I5" s="34"/>
      <c r="J5" s="32">
        <f>K18</f>
        <v>158</v>
      </c>
      <c r="K5" s="32"/>
      <c r="L5" s="32"/>
      <c r="M5" s="35" t="str">
        <f>K21</f>
        <v>Gewinnzone</v>
      </c>
      <c r="N5" s="35"/>
      <c r="O5" s="35"/>
      <c r="P5" s="35"/>
      <c r="Q5" s="35"/>
    </row>
    <row r="6" spans="1:17" x14ac:dyDescent="0.25">
      <c r="A6" s="32"/>
      <c r="B6" s="32"/>
      <c r="C6" s="32"/>
      <c r="D6" s="34"/>
      <c r="E6" s="34"/>
      <c r="F6" s="34"/>
      <c r="G6" s="34"/>
      <c r="H6" s="34"/>
      <c r="I6" s="34"/>
      <c r="J6" s="32"/>
      <c r="K6" s="32"/>
      <c r="L6" s="32"/>
      <c r="M6" s="35"/>
      <c r="N6" s="35"/>
      <c r="O6" s="35"/>
      <c r="P6" s="35"/>
      <c r="Q6" s="35"/>
    </row>
    <row r="7" spans="1:17" x14ac:dyDescent="0.25">
      <c r="A7" s="33" t="s">
        <v>7</v>
      </c>
      <c r="B7" s="33"/>
      <c r="C7" s="33"/>
      <c r="D7" s="33" t="s">
        <v>8</v>
      </c>
      <c r="E7" s="33"/>
      <c r="F7" s="33"/>
      <c r="G7" s="33" t="s">
        <v>9</v>
      </c>
      <c r="H7" s="33"/>
      <c r="I7" s="33"/>
      <c r="J7" s="33" t="s">
        <v>10</v>
      </c>
      <c r="K7" s="33"/>
      <c r="L7" s="33"/>
      <c r="M7" s="33" t="s">
        <v>11</v>
      </c>
      <c r="N7" s="33"/>
      <c r="O7" s="33"/>
      <c r="P7" s="33"/>
      <c r="Q7" s="33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36" t="s">
        <v>12</v>
      </c>
      <c r="B9" s="36"/>
      <c r="C9" s="36"/>
      <c r="D9" s="36"/>
      <c r="E9" s="36"/>
      <c r="F9" s="36"/>
      <c r="G9" s="36"/>
      <c r="H9" s="36"/>
      <c r="I9" s="1"/>
      <c r="J9" s="36" t="s">
        <v>13</v>
      </c>
      <c r="K9" s="36"/>
      <c r="L9" s="36"/>
      <c r="M9" s="36"/>
      <c r="N9" s="36"/>
      <c r="O9" s="36"/>
      <c r="P9" s="36"/>
      <c r="Q9" s="36"/>
    </row>
    <row r="10" spans="1:17" x14ac:dyDescent="0.25">
      <c r="A10" s="3" t="s">
        <v>14</v>
      </c>
      <c r="B10" s="7" t="s">
        <v>15</v>
      </c>
      <c r="C10" s="45"/>
      <c r="D10" s="5" t="s">
        <v>16</v>
      </c>
      <c r="E10" s="21"/>
      <c r="F10" s="21"/>
      <c r="G10" s="21"/>
      <c r="H10" s="21"/>
      <c r="I10" s="21"/>
      <c r="J10" s="3" t="s">
        <v>17</v>
      </c>
      <c r="K10" s="11">
        <f>C32</f>
        <v>8200</v>
      </c>
      <c r="L10" s="4" t="s">
        <v>18</v>
      </c>
      <c r="M10" s="5" t="s">
        <v>19</v>
      </c>
      <c r="N10" s="38" t="s">
        <v>20</v>
      </c>
      <c r="O10" s="38"/>
      <c r="P10" s="38"/>
      <c r="Q10" s="38"/>
    </row>
    <row r="11" spans="1:17" x14ac:dyDescent="0.25">
      <c r="A11" s="3" t="s">
        <v>21</v>
      </c>
      <c r="B11" s="7" t="s">
        <v>22</v>
      </c>
      <c r="C11" s="45"/>
      <c r="D11" s="5" t="s">
        <v>23</v>
      </c>
      <c r="E11" s="21"/>
      <c r="F11" s="21"/>
      <c r="G11" s="21"/>
      <c r="H11" s="21"/>
      <c r="I11" s="21"/>
      <c r="J11" s="3" t="s">
        <v>24</v>
      </c>
      <c r="K11" s="11">
        <f>G32</f>
        <v>14.25</v>
      </c>
      <c r="L11" s="4" t="s">
        <v>18</v>
      </c>
      <c r="M11" s="5" t="s">
        <v>25</v>
      </c>
      <c r="N11" s="22" t="s">
        <v>26</v>
      </c>
      <c r="O11" s="3" t="s">
        <v>27</v>
      </c>
      <c r="P11" s="39" t="s">
        <v>28</v>
      </c>
      <c r="Q11" s="39"/>
    </row>
    <row r="12" spans="1:17" x14ac:dyDescent="0.25">
      <c r="A12" s="3" t="s">
        <v>29</v>
      </c>
      <c r="B12" s="7" t="s">
        <v>30</v>
      </c>
      <c r="C12" s="45"/>
      <c r="D12" s="5" t="s">
        <v>31</v>
      </c>
      <c r="E12" s="21"/>
      <c r="F12" s="21"/>
      <c r="G12" s="21"/>
      <c r="H12" s="21"/>
      <c r="I12" s="21"/>
      <c r="J12" s="3" t="s">
        <v>32</v>
      </c>
      <c r="K12" s="11">
        <f>B15</f>
        <v>32</v>
      </c>
      <c r="L12" s="4" t="s">
        <v>18</v>
      </c>
      <c r="M12" s="5" t="s">
        <v>33</v>
      </c>
      <c r="N12" s="22" t="s">
        <v>34</v>
      </c>
      <c r="O12" s="3" t="s">
        <v>35</v>
      </c>
      <c r="P12" s="39" t="s">
        <v>36</v>
      </c>
      <c r="Q12" s="39"/>
    </row>
    <row r="13" spans="1:17" x14ac:dyDescent="0.25">
      <c r="A13" s="3" t="s">
        <v>37</v>
      </c>
      <c r="B13" s="17">
        <v>620</v>
      </c>
      <c r="C13" s="45" t="s">
        <v>38</v>
      </c>
      <c r="D13" s="5" t="s">
        <v>39</v>
      </c>
      <c r="E13" s="21"/>
      <c r="F13" s="21"/>
      <c r="G13" s="21"/>
      <c r="H13" s="21"/>
      <c r="I13" s="21"/>
      <c r="J13" s="3" t="s">
        <v>40</v>
      </c>
      <c r="K13" s="11">
        <f>K12-K11</f>
        <v>17.75</v>
      </c>
      <c r="L13" s="4" t="s">
        <v>18</v>
      </c>
      <c r="M13" s="5" t="s">
        <v>41</v>
      </c>
      <c r="N13" s="22" t="s">
        <v>42</v>
      </c>
      <c r="O13" s="3" t="s">
        <v>43</v>
      </c>
      <c r="P13" s="39" t="s">
        <v>44</v>
      </c>
      <c r="Q13" s="39"/>
    </row>
    <row r="14" spans="1:17" x14ac:dyDescent="0.25">
      <c r="A14" s="3" t="s">
        <v>45</v>
      </c>
      <c r="B14" s="17">
        <v>900</v>
      </c>
      <c r="C14" s="45" t="s">
        <v>38</v>
      </c>
      <c r="D14" s="5" t="s">
        <v>46</v>
      </c>
      <c r="E14" s="21"/>
      <c r="F14" s="21"/>
      <c r="G14" s="21"/>
      <c r="H14" s="21"/>
      <c r="I14" s="21"/>
      <c r="J14" s="3" t="s">
        <v>47</v>
      </c>
      <c r="K14" s="12">
        <f>IFERROR(K13/K12,0)</f>
        <v>0.5546875</v>
      </c>
      <c r="L14" s="4" t="s">
        <v>48</v>
      </c>
      <c r="M14" s="5" t="s">
        <v>49</v>
      </c>
      <c r="N14" s="22" t="s">
        <v>50</v>
      </c>
      <c r="O14" s="3" t="s">
        <v>51</v>
      </c>
      <c r="P14" s="39" t="s">
        <v>52</v>
      </c>
      <c r="Q14" s="39"/>
    </row>
    <row r="15" spans="1:17" x14ac:dyDescent="0.25">
      <c r="A15" s="3" t="s">
        <v>32</v>
      </c>
      <c r="B15" s="9">
        <v>32</v>
      </c>
      <c r="C15" s="45" t="s">
        <v>18</v>
      </c>
      <c r="D15" s="5" t="s">
        <v>53</v>
      </c>
      <c r="E15" s="21"/>
      <c r="F15" s="21"/>
      <c r="G15" s="21"/>
      <c r="H15" s="21"/>
      <c r="I15" s="21"/>
      <c r="J15" s="3" t="s">
        <v>2</v>
      </c>
      <c r="K15" s="13">
        <f>IF(K13&lt;=0,0,ROUNDUP(K10/K13,0))</f>
        <v>462</v>
      </c>
      <c r="L15" s="4" t="s">
        <v>38</v>
      </c>
      <c r="M15" s="5" t="s">
        <v>54</v>
      </c>
      <c r="N15" s="22" t="s">
        <v>55</v>
      </c>
      <c r="O15" s="3" t="s">
        <v>56</v>
      </c>
      <c r="P15" s="39" t="s">
        <v>57</v>
      </c>
      <c r="Q15" s="39"/>
    </row>
    <row r="16" spans="1:17" x14ac:dyDescent="0.25">
      <c r="A16" s="3" t="s">
        <v>58</v>
      </c>
      <c r="B16" s="9">
        <v>5000</v>
      </c>
      <c r="C16" s="45" t="s">
        <v>18</v>
      </c>
      <c r="D16" s="5" t="s">
        <v>59</v>
      </c>
      <c r="E16" s="21"/>
      <c r="F16" s="21"/>
      <c r="G16" s="21"/>
      <c r="H16" s="21"/>
      <c r="I16" s="21"/>
      <c r="J16" s="3" t="s">
        <v>3</v>
      </c>
      <c r="K16" s="14">
        <f>K15*K12</f>
        <v>14784</v>
      </c>
      <c r="L16" s="4" t="s">
        <v>18</v>
      </c>
      <c r="M16" s="5" t="s">
        <v>60</v>
      </c>
      <c r="N16" s="21"/>
      <c r="O16" s="21"/>
      <c r="P16" s="21"/>
      <c r="Q16" s="21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3" t="s">
        <v>4</v>
      </c>
      <c r="K17" s="14">
        <f>B13*K13-K10</f>
        <v>2805</v>
      </c>
      <c r="L17" s="4" t="s">
        <v>18</v>
      </c>
      <c r="M17" s="5" t="s">
        <v>61</v>
      </c>
      <c r="N17" s="21"/>
      <c r="O17" s="21"/>
      <c r="P17" s="21"/>
      <c r="Q17" s="21"/>
    </row>
    <row r="18" spans="1:17" x14ac:dyDescent="0.25">
      <c r="A18" s="37" t="s">
        <v>62</v>
      </c>
      <c r="B18" s="37"/>
      <c r="C18" s="37"/>
      <c r="D18" s="37"/>
      <c r="E18" s="37"/>
      <c r="F18" s="37"/>
      <c r="G18" s="37"/>
      <c r="H18" s="37"/>
      <c r="I18" s="21"/>
      <c r="J18" s="3" t="s">
        <v>5</v>
      </c>
      <c r="K18" s="13">
        <f>B13-K15</f>
        <v>158</v>
      </c>
      <c r="L18" s="4" t="s">
        <v>38</v>
      </c>
      <c r="M18" s="5" t="s">
        <v>63</v>
      </c>
      <c r="N18" s="21"/>
      <c r="O18" s="21"/>
      <c r="P18" s="21"/>
      <c r="Q18" s="21"/>
    </row>
    <row r="19" spans="1:17" x14ac:dyDescent="0.25">
      <c r="A19" s="37"/>
      <c r="B19" s="37"/>
      <c r="C19" s="37"/>
      <c r="D19" s="37"/>
      <c r="E19" s="37"/>
      <c r="F19" s="37"/>
      <c r="G19" s="37"/>
      <c r="H19" s="37"/>
      <c r="I19" s="21"/>
      <c r="J19" s="3" t="s">
        <v>64</v>
      </c>
      <c r="K19" s="12">
        <f>IFERROR(K18/B13,0)</f>
        <v>0.25483870967741934</v>
      </c>
      <c r="L19" s="4" t="s">
        <v>48</v>
      </c>
      <c r="M19" s="5" t="s">
        <v>65</v>
      </c>
      <c r="N19" s="21"/>
      <c r="O19" s="21"/>
      <c r="P19" s="21"/>
      <c r="Q19" s="21"/>
    </row>
    <row r="20" spans="1:17" x14ac:dyDescent="0.25">
      <c r="A20" s="37"/>
      <c r="B20" s="37"/>
      <c r="C20" s="37"/>
      <c r="D20" s="37"/>
      <c r="E20" s="37"/>
      <c r="F20" s="37"/>
      <c r="G20" s="37"/>
      <c r="H20" s="37"/>
      <c r="I20" s="21"/>
      <c r="J20" s="3" t="s">
        <v>66</v>
      </c>
      <c r="K20" s="11">
        <f>IFERROR((K10+B16+B13*K11)/B13,0)</f>
        <v>35.54032258064516</v>
      </c>
      <c r="L20" s="4" t="s">
        <v>18</v>
      </c>
      <c r="M20" s="5" t="s">
        <v>67</v>
      </c>
      <c r="N20" s="21"/>
      <c r="O20" s="21"/>
      <c r="P20" s="21"/>
      <c r="Q20" s="21"/>
    </row>
    <row r="21" spans="1:17" x14ac:dyDescent="0.25">
      <c r="A21" s="37"/>
      <c r="B21" s="37"/>
      <c r="C21" s="37"/>
      <c r="D21" s="37"/>
      <c r="E21" s="37"/>
      <c r="F21" s="37"/>
      <c r="G21" s="37"/>
      <c r="H21" s="37"/>
      <c r="I21" s="21"/>
      <c r="J21" s="3" t="s">
        <v>6</v>
      </c>
      <c r="K21" s="10" t="str">
        <f>IF(K13&lt;=0,"Deckungsbeitrag negativ",IF(B13&gt;=K15,"Gewinnzone","Verlustzone"))</f>
        <v>Gewinnzone</v>
      </c>
      <c r="L21" s="4"/>
      <c r="M21" s="5" t="s">
        <v>68</v>
      </c>
      <c r="N21" s="21"/>
      <c r="O21" s="21"/>
      <c r="P21" s="21"/>
      <c r="Q21" s="21"/>
    </row>
    <row r="22" spans="1:1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x14ac:dyDescent="0.25">
      <c r="A23" s="38" t="s">
        <v>69</v>
      </c>
      <c r="B23" s="38"/>
      <c r="C23" s="38"/>
      <c r="D23" s="38"/>
      <c r="E23" s="38" t="s">
        <v>24</v>
      </c>
      <c r="F23" s="38"/>
      <c r="G23" s="38"/>
      <c r="H23" s="38"/>
      <c r="I23" s="21"/>
      <c r="J23" s="21"/>
      <c r="K23" s="21"/>
      <c r="L23" s="21"/>
      <c r="M23" s="21"/>
      <c r="N23" s="21"/>
      <c r="O23" s="21"/>
      <c r="P23" s="21"/>
      <c r="Q23" s="21"/>
    </row>
    <row r="24" spans="1:17" x14ac:dyDescent="0.25">
      <c r="A24" s="23" t="s">
        <v>70</v>
      </c>
      <c r="B24" s="23" t="s">
        <v>71</v>
      </c>
      <c r="C24" s="23" t="s">
        <v>72</v>
      </c>
      <c r="D24" s="23" t="s">
        <v>73</v>
      </c>
      <c r="E24" s="23" t="s">
        <v>70</v>
      </c>
      <c r="F24" s="23" t="s">
        <v>71</v>
      </c>
      <c r="G24" s="23" t="s">
        <v>72</v>
      </c>
      <c r="H24" s="23" t="s">
        <v>73</v>
      </c>
      <c r="I24" s="21"/>
      <c r="J24" s="21"/>
      <c r="K24" s="21"/>
      <c r="L24" s="21"/>
      <c r="M24" s="21"/>
      <c r="N24" s="21"/>
      <c r="O24" s="21"/>
      <c r="P24" s="21"/>
      <c r="Q24" s="21"/>
    </row>
    <row r="25" spans="1:17" x14ac:dyDescent="0.25">
      <c r="A25" s="2" t="s">
        <v>74</v>
      </c>
      <c r="B25" s="6" t="s">
        <v>75</v>
      </c>
      <c r="C25" s="8">
        <v>1250</v>
      </c>
      <c r="D25" s="5" t="s">
        <v>76</v>
      </c>
      <c r="E25" s="2" t="s">
        <v>77</v>
      </c>
      <c r="F25" s="6" t="s">
        <v>78</v>
      </c>
      <c r="G25" s="9">
        <v>7.2</v>
      </c>
      <c r="H25" s="5" t="s">
        <v>79</v>
      </c>
      <c r="I25" s="21"/>
      <c r="J25" s="21"/>
      <c r="K25" s="21"/>
      <c r="L25" s="21"/>
      <c r="M25" s="21"/>
      <c r="N25" s="21"/>
      <c r="O25" s="21"/>
      <c r="P25" s="21"/>
      <c r="Q25" s="21"/>
    </row>
    <row r="26" spans="1:17" x14ac:dyDescent="0.25">
      <c r="A26" s="2" t="s">
        <v>80</v>
      </c>
      <c r="B26" s="6" t="s">
        <v>81</v>
      </c>
      <c r="C26" s="8">
        <v>5200</v>
      </c>
      <c r="D26" s="5" t="s">
        <v>82</v>
      </c>
      <c r="E26" s="2" t="s">
        <v>83</v>
      </c>
      <c r="F26" s="6" t="s">
        <v>78</v>
      </c>
      <c r="G26" s="9">
        <v>1.3</v>
      </c>
      <c r="H26" s="5" t="s">
        <v>79</v>
      </c>
      <c r="I26" s="21"/>
      <c r="J26" s="21"/>
      <c r="K26" s="21"/>
      <c r="L26" s="21"/>
      <c r="M26" s="21"/>
      <c r="N26" s="21"/>
      <c r="O26" s="21"/>
      <c r="P26" s="21"/>
      <c r="Q26" s="21"/>
    </row>
    <row r="27" spans="1:17" x14ac:dyDescent="0.25">
      <c r="A27" s="2" t="s">
        <v>84</v>
      </c>
      <c r="B27" s="6" t="s">
        <v>85</v>
      </c>
      <c r="C27" s="8">
        <v>180</v>
      </c>
      <c r="D27" s="5" t="s">
        <v>86</v>
      </c>
      <c r="E27" s="2" t="s">
        <v>87</v>
      </c>
      <c r="F27" s="6" t="s">
        <v>88</v>
      </c>
      <c r="G27" s="9">
        <v>1.1000000000000001</v>
      </c>
      <c r="H27" s="5" t="s">
        <v>79</v>
      </c>
      <c r="I27" s="21"/>
      <c r="J27" s="21"/>
      <c r="K27" s="21"/>
      <c r="L27" s="21"/>
      <c r="M27" s="21"/>
      <c r="N27" s="21"/>
      <c r="O27" s="21"/>
      <c r="P27" s="21"/>
      <c r="Q27" s="21"/>
    </row>
    <row r="28" spans="1:17" x14ac:dyDescent="0.25">
      <c r="A28" s="2" t="s">
        <v>89</v>
      </c>
      <c r="B28" s="6" t="s">
        <v>90</v>
      </c>
      <c r="C28" s="8">
        <v>850</v>
      </c>
      <c r="D28" s="5" t="s">
        <v>91</v>
      </c>
      <c r="E28" s="2" t="s">
        <v>92</v>
      </c>
      <c r="F28" s="6" t="s">
        <v>90</v>
      </c>
      <c r="G28" s="9">
        <v>0.95</v>
      </c>
      <c r="H28" s="5" t="s">
        <v>93</v>
      </c>
      <c r="I28" s="21"/>
      <c r="J28" s="21"/>
      <c r="K28" s="21"/>
      <c r="L28" s="21"/>
      <c r="M28" s="21"/>
      <c r="N28" s="21"/>
      <c r="O28" s="21"/>
      <c r="P28" s="21"/>
      <c r="Q28" s="21"/>
    </row>
    <row r="29" spans="1:17" x14ac:dyDescent="0.25">
      <c r="A29" s="2" t="s">
        <v>94</v>
      </c>
      <c r="B29" s="6" t="s">
        <v>95</v>
      </c>
      <c r="C29" s="8">
        <v>160</v>
      </c>
      <c r="D29" s="5" t="s">
        <v>96</v>
      </c>
      <c r="E29" s="2" t="s">
        <v>97</v>
      </c>
      <c r="F29" s="6" t="s">
        <v>88</v>
      </c>
      <c r="G29" s="9">
        <v>2.4</v>
      </c>
      <c r="H29" s="5" t="s">
        <v>98</v>
      </c>
      <c r="I29" s="21"/>
      <c r="J29" s="21"/>
      <c r="K29" s="21"/>
      <c r="L29" s="21"/>
      <c r="M29" s="21"/>
      <c r="N29" s="21"/>
      <c r="O29" s="21"/>
      <c r="P29" s="21"/>
      <c r="Q29" s="21"/>
    </row>
    <row r="30" spans="1:17" x14ac:dyDescent="0.25">
      <c r="A30" s="2" t="s">
        <v>99</v>
      </c>
      <c r="B30" s="6" t="s">
        <v>85</v>
      </c>
      <c r="C30" s="8">
        <v>300</v>
      </c>
      <c r="D30" s="5" t="s">
        <v>100</v>
      </c>
      <c r="E30" s="2" t="s">
        <v>101</v>
      </c>
      <c r="F30" s="6" t="s">
        <v>102</v>
      </c>
      <c r="G30" s="9">
        <v>0.8</v>
      </c>
      <c r="H30" s="5" t="s">
        <v>103</v>
      </c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25">
      <c r="A31" s="2" t="s">
        <v>104</v>
      </c>
      <c r="B31" s="6" t="s">
        <v>105</v>
      </c>
      <c r="C31" s="8">
        <v>260</v>
      </c>
      <c r="D31" s="5" t="s">
        <v>106</v>
      </c>
      <c r="E31" s="2" t="s">
        <v>107</v>
      </c>
      <c r="F31" s="6" t="s">
        <v>105</v>
      </c>
      <c r="G31" s="9">
        <v>0.5</v>
      </c>
      <c r="H31" s="5" t="s">
        <v>106</v>
      </c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25">
      <c r="A32" s="24" t="s">
        <v>17</v>
      </c>
      <c r="B32" s="24"/>
      <c r="C32" s="25">
        <f>SUM(C25:C31)</f>
        <v>8200</v>
      </c>
      <c r="D32" s="24"/>
      <c r="E32" s="24" t="s">
        <v>108</v>
      </c>
      <c r="F32" s="24"/>
      <c r="G32" s="26">
        <f>SUM(G25:G31)</f>
        <v>14.25</v>
      </c>
      <c r="H32" s="24"/>
      <c r="I32" s="21"/>
      <c r="J32" s="21"/>
      <c r="K32" s="21"/>
      <c r="L32" s="21"/>
      <c r="M32" s="21"/>
      <c r="N32" s="21"/>
      <c r="O32" s="21"/>
      <c r="P32" s="21"/>
      <c r="Q32" s="21"/>
    </row>
    <row r="33" spans="1:1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ht="15.75" x14ac:dyDescent="0.25">
      <c r="A35" s="40" t="s">
        <v>109</v>
      </c>
      <c r="B35" s="40"/>
      <c r="C35" s="40"/>
      <c r="D35" s="40"/>
      <c r="E35" s="40"/>
      <c r="F35" s="40"/>
      <c r="G35" s="40"/>
      <c r="H35" s="40"/>
      <c r="I35" s="40"/>
      <c r="J35" s="40" t="s">
        <v>110</v>
      </c>
      <c r="K35" s="40"/>
      <c r="L35" s="40"/>
      <c r="M35" s="40"/>
      <c r="N35" s="40"/>
      <c r="O35" s="40"/>
      <c r="P35" s="40"/>
      <c r="Q35" s="40"/>
    </row>
    <row r="36" spans="1:17" ht="27" x14ac:dyDescent="0.25">
      <c r="A36" s="15" t="s">
        <v>111</v>
      </c>
      <c r="B36" s="15" t="s">
        <v>112</v>
      </c>
      <c r="C36" s="15" t="s">
        <v>113</v>
      </c>
      <c r="D36" s="15" t="s">
        <v>114</v>
      </c>
      <c r="E36" s="15" t="s">
        <v>115</v>
      </c>
      <c r="F36" s="15" t="s">
        <v>116</v>
      </c>
      <c r="G36" s="15" t="s">
        <v>117</v>
      </c>
      <c r="H36" s="15" t="s">
        <v>2</v>
      </c>
      <c r="I36" s="15" t="s">
        <v>118</v>
      </c>
      <c r="J36" s="15" t="s">
        <v>119</v>
      </c>
      <c r="K36" s="27">
        <f>$B$15*0.9</f>
        <v>28.8</v>
      </c>
      <c r="L36" s="27">
        <f>$B$15*0.95</f>
        <v>30.4</v>
      </c>
      <c r="M36" s="27">
        <f>$B$15</f>
        <v>32</v>
      </c>
      <c r="N36" s="27">
        <f>$B$15*1.05</f>
        <v>33.6</v>
      </c>
      <c r="O36" s="27">
        <f>$B$15*1.1</f>
        <v>35.200000000000003</v>
      </c>
      <c r="P36" s="42" t="s">
        <v>120</v>
      </c>
      <c r="Q36" s="42"/>
    </row>
    <row r="37" spans="1:17" x14ac:dyDescent="0.25">
      <c r="A37" s="3" t="s">
        <v>121</v>
      </c>
      <c r="B37" s="16">
        <v>-0.08</v>
      </c>
      <c r="C37" s="16">
        <v>0.08</v>
      </c>
      <c r="D37" s="16">
        <v>0.05</v>
      </c>
      <c r="E37" s="17">
        <v>530</v>
      </c>
      <c r="F37" s="18">
        <f>$B$15*(1+B37)</f>
        <v>29.44</v>
      </c>
      <c r="G37" s="18">
        <f>$B$15*(1+B37)-$G$32*(1+C37)</f>
        <v>14.05</v>
      </c>
      <c r="H37" s="19">
        <f>IF(G37&lt;=0,0,ROUNDUP($C$32*(1+D37)/G37,0))</f>
        <v>613</v>
      </c>
      <c r="I37" s="20">
        <f>E37*G37-$C$32*(1+D37)</f>
        <v>-1163.5</v>
      </c>
      <c r="J37" s="28" t="s">
        <v>122</v>
      </c>
      <c r="K37" s="29">
        <f>IF(K$36-$G$32&lt;=0,0,ROUNDUP($C$32*0.8/(K$36-$G$32),0))</f>
        <v>451</v>
      </c>
      <c r="L37" s="29">
        <f>IF(L$36-$G$32&lt;=0,0,ROUNDUP($C$32*0.8/(L$36-$G$32),0))</f>
        <v>407</v>
      </c>
      <c r="M37" s="29">
        <f>IF(M$36-$G$32&lt;=0,0,ROUNDUP($C$32*0.8/(M$36-$G$32),0))</f>
        <v>370</v>
      </c>
      <c r="N37" s="29">
        <f>IF(N$36-$G$32&lt;=0,0,ROUNDUP($C$32*0.8/(N$36-$G$32),0))</f>
        <v>340</v>
      </c>
      <c r="O37" s="29">
        <f>IF(O$36-$G$32&lt;=0,0,ROUNDUP($C$32*0.8/(O$36-$G$32),0))</f>
        <v>314</v>
      </c>
      <c r="P37" s="42" t="s">
        <v>123</v>
      </c>
      <c r="Q37" s="42"/>
    </row>
    <row r="38" spans="1:17" x14ac:dyDescent="0.25">
      <c r="A38" s="3" t="s">
        <v>124</v>
      </c>
      <c r="B38" s="16">
        <v>0</v>
      </c>
      <c r="C38" s="16">
        <v>0</v>
      </c>
      <c r="D38" s="16">
        <v>0</v>
      </c>
      <c r="E38" s="17">
        <v>620</v>
      </c>
      <c r="F38" s="18">
        <f>$B$15*(1+B38)</f>
        <v>32</v>
      </c>
      <c r="G38" s="18">
        <f>$B$15*(1+B38)-$G$32*(1+C38)</f>
        <v>17.75</v>
      </c>
      <c r="H38" s="19">
        <f>IF(G38&lt;=0,0,ROUNDUP($C$32*(1+D38)/G38,0))</f>
        <v>462</v>
      </c>
      <c r="I38" s="20">
        <f>E38*G38-$C$32*(1+D38)</f>
        <v>2805</v>
      </c>
      <c r="J38" s="28" t="s">
        <v>125</v>
      </c>
      <c r="K38" s="29">
        <f>IF(K$36-$G$32&lt;=0,0,ROUNDUP($C$32*0.9/(K$36-$G$32),0))</f>
        <v>508</v>
      </c>
      <c r="L38" s="29">
        <f>IF(L$36-$G$32&lt;=0,0,ROUNDUP($C$32*0.9/(L$36-$G$32),0))</f>
        <v>457</v>
      </c>
      <c r="M38" s="29">
        <f>IF(M$36-$G$32&lt;=0,0,ROUNDUP($C$32*0.9/(M$36-$G$32),0))</f>
        <v>416</v>
      </c>
      <c r="N38" s="29">
        <f>IF(N$36-$G$32&lt;=0,0,ROUNDUP($C$32*0.9/(N$36-$G$32),0))</f>
        <v>382</v>
      </c>
      <c r="O38" s="29">
        <f>IF(O$36-$G$32&lt;=0,0,ROUNDUP($C$32*0.9/(O$36-$G$32),0))</f>
        <v>353</v>
      </c>
      <c r="P38" s="42"/>
      <c r="Q38" s="42"/>
    </row>
    <row r="39" spans="1:17" x14ac:dyDescent="0.25">
      <c r="A39" s="3" t="s">
        <v>126</v>
      </c>
      <c r="B39" s="16">
        <v>7.0000000000000007E-2</v>
      </c>
      <c r="C39" s="16">
        <v>-0.03</v>
      </c>
      <c r="D39" s="16">
        <v>0.1</v>
      </c>
      <c r="E39" s="17">
        <v>750</v>
      </c>
      <c r="F39" s="18">
        <f>$B$15*(1+B39)</f>
        <v>34.24</v>
      </c>
      <c r="G39" s="18">
        <f>$B$15*(1+B39)-$G$32*(1+C39)</f>
        <v>20.417500000000004</v>
      </c>
      <c r="H39" s="19">
        <f>IF(G39&lt;=0,0,ROUNDUP($C$32*(1+D39)/G39,0))</f>
        <v>442</v>
      </c>
      <c r="I39" s="20">
        <f>E39*G39-$C$32*(1+D39)</f>
        <v>6293.1250000000036</v>
      </c>
      <c r="J39" s="28" t="s">
        <v>124</v>
      </c>
      <c r="K39" s="29">
        <f>IF(K$36-$G$32&lt;=0,0,ROUNDUP($C$32/(K$36-$G$32),0))</f>
        <v>564</v>
      </c>
      <c r="L39" s="29">
        <f>IF(L$36-$G$32&lt;=0,0,ROUNDUP($C$32/(L$36-$G$32),0))</f>
        <v>508</v>
      </c>
      <c r="M39" s="29">
        <f>IF(M$36-$G$32&lt;=0,0,ROUNDUP($C$32/(M$36-$G$32),0))</f>
        <v>462</v>
      </c>
      <c r="N39" s="29">
        <f>IF(N$36-$G$32&lt;=0,0,ROUNDUP($C$32/(N$36-$G$32),0))</f>
        <v>424</v>
      </c>
      <c r="O39" s="29">
        <f>IF(O$36-$G$32&lt;=0,0,ROUNDUP($C$32/(O$36-$G$32),0))</f>
        <v>392</v>
      </c>
      <c r="P39" s="42"/>
      <c r="Q39" s="42"/>
    </row>
    <row r="40" spans="1:17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8" t="s">
        <v>127</v>
      </c>
      <c r="K40" s="29">
        <f>IF(K$36-$G$32&lt;=0,0,ROUNDUP($C$32*1.1/(K$36-$G$32),0))</f>
        <v>620</v>
      </c>
      <c r="L40" s="29">
        <f>IF(L$36-$G$32&lt;=0,0,ROUNDUP($C$32*1.1/(L$36-$G$32),0))</f>
        <v>559</v>
      </c>
      <c r="M40" s="29">
        <f>IF(M$36-$G$32&lt;=0,0,ROUNDUP($C$32*1.1/(M$36-$G$32),0))</f>
        <v>509</v>
      </c>
      <c r="N40" s="29">
        <f>IF(N$36-$G$32&lt;=0,0,ROUNDUP($C$32*1.1/(N$36-$G$32),0))</f>
        <v>467</v>
      </c>
      <c r="O40" s="29">
        <f>IF(O$36-$G$32&lt;=0,0,ROUNDUP($C$32*1.1/(O$36-$G$32),0))</f>
        <v>431</v>
      </c>
      <c r="P40" s="42"/>
      <c r="Q40" s="42"/>
    </row>
    <row r="41" spans="1:17" x14ac:dyDescent="0.25">
      <c r="A41" s="41" t="s">
        <v>128</v>
      </c>
      <c r="B41" s="41"/>
      <c r="C41" s="41"/>
      <c r="D41" s="41"/>
      <c r="E41" s="41"/>
      <c r="F41" s="41"/>
      <c r="G41" s="41"/>
      <c r="H41" s="41"/>
      <c r="I41" s="41"/>
      <c r="J41" s="28" t="s">
        <v>129</v>
      </c>
      <c r="K41" s="29">
        <f>IF(K$36-$G$32&lt;=0,0,ROUNDUP($C$32*1.2/(K$36-$G$32),0))</f>
        <v>677</v>
      </c>
      <c r="L41" s="29">
        <f>IF(L$36-$G$32&lt;=0,0,ROUNDUP($C$32*1.2/(L$36-$G$32),0))</f>
        <v>610</v>
      </c>
      <c r="M41" s="29">
        <f>IF(M$36-$G$32&lt;=0,0,ROUNDUP($C$32*1.2/(M$36-$G$32),0))</f>
        <v>555</v>
      </c>
      <c r="N41" s="29">
        <f>IF(N$36-$G$32&lt;=0,0,ROUNDUP($C$32*1.2/(N$36-$G$32),0))</f>
        <v>509</v>
      </c>
      <c r="O41" s="29">
        <f>IF(O$36-$G$32&lt;=0,0,ROUNDUP($C$32*1.2/(O$36-$G$32),0))</f>
        <v>470</v>
      </c>
      <c r="P41" s="42"/>
      <c r="Q41" s="42"/>
    </row>
    <row r="42" spans="1:17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21"/>
      <c r="K42" s="21"/>
      <c r="L42" s="21"/>
      <c r="M42" s="21"/>
      <c r="N42" s="21"/>
      <c r="O42" s="21"/>
      <c r="P42" s="21"/>
      <c r="Q42" s="21"/>
    </row>
    <row r="43" spans="1:17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21"/>
      <c r="K43" s="21"/>
      <c r="L43" s="21"/>
      <c r="M43" s="21"/>
      <c r="N43" s="21"/>
      <c r="O43" s="21"/>
      <c r="P43" s="21"/>
      <c r="Q43" s="2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 spans="1:17" ht="15.75" x14ac:dyDescent="0.25">
      <c r="A46" s="40" t="s">
        <v>130</v>
      </c>
      <c r="B46" s="40"/>
      <c r="C46" s="40"/>
      <c r="D46" s="40"/>
      <c r="E46" s="40"/>
      <c r="F46" s="4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spans="1:17" x14ac:dyDescent="0.25">
      <c r="A47" s="15" t="s">
        <v>131</v>
      </c>
      <c r="B47" s="15" t="s">
        <v>132</v>
      </c>
      <c r="C47" s="15" t="s">
        <v>133</v>
      </c>
      <c r="D47" s="15" t="s">
        <v>134</v>
      </c>
      <c r="E47" s="15" t="s">
        <v>135</v>
      </c>
      <c r="F47" s="15" t="s">
        <v>118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1:17" x14ac:dyDescent="0.25">
      <c r="A48" s="19">
        <f>0</f>
        <v>0</v>
      </c>
      <c r="B48" s="20">
        <f t="shared" ref="B48:B78" si="0">A48*$B$15</f>
        <v>0</v>
      </c>
      <c r="C48" s="20">
        <f t="shared" ref="C48:C78" si="1">$C$32</f>
        <v>8200</v>
      </c>
      <c r="D48" s="20">
        <f t="shared" ref="D48:D78" si="2">A48*$G$32</f>
        <v>0</v>
      </c>
      <c r="E48" s="20">
        <f t="shared" ref="E48:E78" si="3">C48+D48</f>
        <v>8200</v>
      </c>
      <c r="F48" s="20">
        <f t="shared" ref="F48:F78" si="4">B48-E48</f>
        <v>-8200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1:17" x14ac:dyDescent="0.25">
      <c r="A49" s="19">
        <f t="shared" ref="A49:A78" si="5">A48+MAX(1,ROUNDUP(MAX($B$14,$K$15*1.4)/30,0))</f>
        <v>30</v>
      </c>
      <c r="B49" s="20">
        <f t="shared" si="0"/>
        <v>960</v>
      </c>
      <c r="C49" s="20">
        <f t="shared" si="1"/>
        <v>8200</v>
      </c>
      <c r="D49" s="20">
        <f t="shared" si="2"/>
        <v>427.5</v>
      </c>
      <c r="E49" s="20">
        <f t="shared" si="3"/>
        <v>8627.5</v>
      </c>
      <c r="F49" s="20">
        <f t="shared" si="4"/>
        <v>-7667.5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x14ac:dyDescent="0.25">
      <c r="A50" s="19">
        <f t="shared" si="5"/>
        <v>60</v>
      </c>
      <c r="B50" s="20">
        <f t="shared" si="0"/>
        <v>1920</v>
      </c>
      <c r="C50" s="20">
        <f t="shared" si="1"/>
        <v>8200</v>
      </c>
      <c r="D50" s="20">
        <f t="shared" si="2"/>
        <v>855</v>
      </c>
      <c r="E50" s="20">
        <f t="shared" si="3"/>
        <v>9055</v>
      </c>
      <c r="F50" s="20">
        <f t="shared" si="4"/>
        <v>-7135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1" spans="1:17" x14ac:dyDescent="0.25">
      <c r="A51" s="19">
        <f t="shared" si="5"/>
        <v>90</v>
      </c>
      <c r="B51" s="20">
        <f t="shared" si="0"/>
        <v>2880</v>
      </c>
      <c r="C51" s="20">
        <f t="shared" si="1"/>
        <v>8200</v>
      </c>
      <c r="D51" s="20">
        <f t="shared" si="2"/>
        <v>1282.5</v>
      </c>
      <c r="E51" s="20">
        <f t="shared" si="3"/>
        <v>9482.5</v>
      </c>
      <c r="F51" s="20">
        <f t="shared" si="4"/>
        <v>-6602.5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x14ac:dyDescent="0.25">
      <c r="A52" s="19">
        <f t="shared" si="5"/>
        <v>120</v>
      </c>
      <c r="B52" s="20">
        <f t="shared" si="0"/>
        <v>3840</v>
      </c>
      <c r="C52" s="20">
        <f t="shared" si="1"/>
        <v>8200</v>
      </c>
      <c r="D52" s="20">
        <f t="shared" si="2"/>
        <v>1710</v>
      </c>
      <c r="E52" s="20">
        <f t="shared" si="3"/>
        <v>9910</v>
      </c>
      <c r="F52" s="20">
        <f t="shared" si="4"/>
        <v>-6070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x14ac:dyDescent="0.25">
      <c r="A53" s="19">
        <f t="shared" si="5"/>
        <v>150</v>
      </c>
      <c r="B53" s="20">
        <f t="shared" si="0"/>
        <v>4800</v>
      </c>
      <c r="C53" s="20">
        <f t="shared" si="1"/>
        <v>8200</v>
      </c>
      <c r="D53" s="20">
        <f t="shared" si="2"/>
        <v>2137.5</v>
      </c>
      <c r="E53" s="20">
        <f t="shared" si="3"/>
        <v>10337.5</v>
      </c>
      <c r="F53" s="20">
        <f t="shared" si="4"/>
        <v>-5537.5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1:17" x14ac:dyDescent="0.25">
      <c r="A54" s="19">
        <f t="shared" si="5"/>
        <v>180</v>
      </c>
      <c r="B54" s="20">
        <f t="shared" si="0"/>
        <v>5760</v>
      </c>
      <c r="C54" s="20">
        <f t="shared" si="1"/>
        <v>8200</v>
      </c>
      <c r="D54" s="20">
        <f t="shared" si="2"/>
        <v>2565</v>
      </c>
      <c r="E54" s="20">
        <f t="shared" si="3"/>
        <v>10765</v>
      </c>
      <c r="F54" s="20">
        <f t="shared" si="4"/>
        <v>-5005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1:17" x14ac:dyDescent="0.25">
      <c r="A55" s="19">
        <f t="shared" si="5"/>
        <v>210</v>
      </c>
      <c r="B55" s="20">
        <f t="shared" si="0"/>
        <v>6720</v>
      </c>
      <c r="C55" s="20">
        <f t="shared" si="1"/>
        <v>8200</v>
      </c>
      <c r="D55" s="20">
        <f t="shared" si="2"/>
        <v>2992.5</v>
      </c>
      <c r="E55" s="20">
        <f t="shared" si="3"/>
        <v>11192.5</v>
      </c>
      <c r="F55" s="20">
        <f t="shared" si="4"/>
        <v>-4472.5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x14ac:dyDescent="0.25">
      <c r="A56" s="19">
        <f t="shared" si="5"/>
        <v>240</v>
      </c>
      <c r="B56" s="20">
        <f t="shared" si="0"/>
        <v>7680</v>
      </c>
      <c r="C56" s="20">
        <f t="shared" si="1"/>
        <v>8200</v>
      </c>
      <c r="D56" s="20">
        <f t="shared" si="2"/>
        <v>3420</v>
      </c>
      <c r="E56" s="20">
        <f t="shared" si="3"/>
        <v>11620</v>
      </c>
      <c r="F56" s="20">
        <f t="shared" si="4"/>
        <v>-3940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x14ac:dyDescent="0.25">
      <c r="A57" s="19">
        <f t="shared" si="5"/>
        <v>270</v>
      </c>
      <c r="B57" s="20">
        <f t="shared" si="0"/>
        <v>8640</v>
      </c>
      <c r="C57" s="20">
        <f t="shared" si="1"/>
        <v>8200</v>
      </c>
      <c r="D57" s="20">
        <f t="shared" si="2"/>
        <v>3847.5</v>
      </c>
      <c r="E57" s="20">
        <f t="shared" si="3"/>
        <v>12047.5</v>
      </c>
      <c r="F57" s="20">
        <f t="shared" si="4"/>
        <v>-3407.5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x14ac:dyDescent="0.25">
      <c r="A58" s="19">
        <f t="shared" si="5"/>
        <v>300</v>
      </c>
      <c r="B58" s="20">
        <f t="shared" si="0"/>
        <v>9600</v>
      </c>
      <c r="C58" s="20">
        <f t="shared" si="1"/>
        <v>8200</v>
      </c>
      <c r="D58" s="20">
        <f t="shared" si="2"/>
        <v>4275</v>
      </c>
      <c r="E58" s="20">
        <f t="shared" si="3"/>
        <v>12475</v>
      </c>
      <c r="F58" s="20">
        <f t="shared" si="4"/>
        <v>-2875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 x14ac:dyDescent="0.25">
      <c r="A59" s="19">
        <f t="shared" si="5"/>
        <v>330</v>
      </c>
      <c r="B59" s="20">
        <f t="shared" si="0"/>
        <v>10560</v>
      </c>
      <c r="C59" s="20">
        <f t="shared" si="1"/>
        <v>8200</v>
      </c>
      <c r="D59" s="20">
        <f t="shared" si="2"/>
        <v>4702.5</v>
      </c>
      <c r="E59" s="20">
        <f t="shared" si="3"/>
        <v>12902.5</v>
      </c>
      <c r="F59" s="20">
        <f t="shared" si="4"/>
        <v>-2342.5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1:17" x14ac:dyDescent="0.25">
      <c r="A60" s="19">
        <f t="shared" si="5"/>
        <v>360</v>
      </c>
      <c r="B60" s="20">
        <f t="shared" si="0"/>
        <v>11520</v>
      </c>
      <c r="C60" s="20">
        <f t="shared" si="1"/>
        <v>8200</v>
      </c>
      <c r="D60" s="20">
        <f t="shared" si="2"/>
        <v>5130</v>
      </c>
      <c r="E60" s="20">
        <f t="shared" si="3"/>
        <v>13330</v>
      </c>
      <c r="F60" s="20">
        <f t="shared" si="4"/>
        <v>-1810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1:17" x14ac:dyDescent="0.25">
      <c r="A61" s="19">
        <f t="shared" si="5"/>
        <v>390</v>
      </c>
      <c r="B61" s="20">
        <f t="shared" si="0"/>
        <v>12480</v>
      </c>
      <c r="C61" s="20">
        <f t="shared" si="1"/>
        <v>8200</v>
      </c>
      <c r="D61" s="20">
        <f t="shared" si="2"/>
        <v>5557.5</v>
      </c>
      <c r="E61" s="20">
        <f t="shared" si="3"/>
        <v>13757.5</v>
      </c>
      <c r="F61" s="20">
        <f t="shared" si="4"/>
        <v>-1277.5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 x14ac:dyDescent="0.25">
      <c r="A62" s="19">
        <f t="shared" si="5"/>
        <v>420</v>
      </c>
      <c r="B62" s="20">
        <f t="shared" si="0"/>
        <v>13440</v>
      </c>
      <c r="C62" s="20">
        <f t="shared" si="1"/>
        <v>8200</v>
      </c>
      <c r="D62" s="20">
        <f t="shared" si="2"/>
        <v>5985</v>
      </c>
      <c r="E62" s="20">
        <f t="shared" si="3"/>
        <v>14185</v>
      </c>
      <c r="F62" s="20">
        <f t="shared" si="4"/>
        <v>-745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1:17" x14ac:dyDescent="0.25">
      <c r="A63" s="19">
        <f t="shared" si="5"/>
        <v>450</v>
      </c>
      <c r="B63" s="20">
        <f t="shared" si="0"/>
        <v>14400</v>
      </c>
      <c r="C63" s="20">
        <f t="shared" si="1"/>
        <v>8200</v>
      </c>
      <c r="D63" s="20">
        <f t="shared" si="2"/>
        <v>6412.5</v>
      </c>
      <c r="E63" s="20">
        <f t="shared" si="3"/>
        <v>14612.5</v>
      </c>
      <c r="F63" s="20">
        <f t="shared" si="4"/>
        <v>-212.5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17" x14ac:dyDescent="0.25">
      <c r="A64" s="19">
        <f t="shared" si="5"/>
        <v>480</v>
      </c>
      <c r="B64" s="20">
        <f t="shared" si="0"/>
        <v>15360</v>
      </c>
      <c r="C64" s="20">
        <f t="shared" si="1"/>
        <v>8200</v>
      </c>
      <c r="D64" s="20">
        <f t="shared" si="2"/>
        <v>6840</v>
      </c>
      <c r="E64" s="20">
        <f t="shared" si="3"/>
        <v>15040</v>
      </c>
      <c r="F64" s="20">
        <f t="shared" si="4"/>
        <v>320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1:17" x14ac:dyDescent="0.25">
      <c r="A65" s="19">
        <f t="shared" si="5"/>
        <v>510</v>
      </c>
      <c r="B65" s="20">
        <f t="shared" si="0"/>
        <v>16320</v>
      </c>
      <c r="C65" s="20">
        <f t="shared" si="1"/>
        <v>8200</v>
      </c>
      <c r="D65" s="20">
        <f t="shared" si="2"/>
        <v>7267.5</v>
      </c>
      <c r="E65" s="20">
        <f t="shared" si="3"/>
        <v>15467.5</v>
      </c>
      <c r="F65" s="20">
        <f t="shared" si="4"/>
        <v>852.5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1:17" x14ac:dyDescent="0.25">
      <c r="A66" s="19">
        <f t="shared" si="5"/>
        <v>540</v>
      </c>
      <c r="B66" s="20">
        <f t="shared" si="0"/>
        <v>17280</v>
      </c>
      <c r="C66" s="20">
        <f t="shared" si="1"/>
        <v>8200</v>
      </c>
      <c r="D66" s="20">
        <f t="shared" si="2"/>
        <v>7695</v>
      </c>
      <c r="E66" s="20">
        <f t="shared" si="3"/>
        <v>15895</v>
      </c>
      <c r="F66" s="20">
        <f t="shared" si="4"/>
        <v>1385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17" x14ac:dyDescent="0.25">
      <c r="A67" s="19">
        <f t="shared" si="5"/>
        <v>570</v>
      </c>
      <c r="B67" s="20">
        <f t="shared" si="0"/>
        <v>18240</v>
      </c>
      <c r="C67" s="20">
        <f t="shared" si="1"/>
        <v>8200</v>
      </c>
      <c r="D67" s="20">
        <f t="shared" si="2"/>
        <v>8122.5</v>
      </c>
      <c r="E67" s="20">
        <f t="shared" si="3"/>
        <v>16322.5</v>
      </c>
      <c r="F67" s="20">
        <f t="shared" si="4"/>
        <v>1917.5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1:17" x14ac:dyDescent="0.25">
      <c r="A68" s="19">
        <f t="shared" si="5"/>
        <v>600</v>
      </c>
      <c r="B68" s="20">
        <f t="shared" si="0"/>
        <v>19200</v>
      </c>
      <c r="C68" s="20">
        <f t="shared" si="1"/>
        <v>8200</v>
      </c>
      <c r="D68" s="20">
        <f t="shared" si="2"/>
        <v>8550</v>
      </c>
      <c r="E68" s="20">
        <f t="shared" si="3"/>
        <v>16750</v>
      </c>
      <c r="F68" s="20">
        <f t="shared" si="4"/>
        <v>2450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1:17" x14ac:dyDescent="0.25">
      <c r="A69" s="19">
        <f t="shared" si="5"/>
        <v>630</v>
      </c>
      <c r="B69" s="20">
        <f t="shared" si="0"/>
        <v>20160</v>
      </c>
      <c r="C69" s="20">
        <f t="shared" si="1"/>
        <v>8200</v>
      </c>
      <c r="D69" s="20">
        <f t="shared" si="2"/>
        <v>8977.5</v>
      </c>
      <c r="E69" s="20">
        <f t="shared" si="3"/>
        <v>17177.5</v>
      </c>
      <c r="F69" s="20">
        <f t="shared" si="4"/>
        <v>2982.5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1:17" x14ac:dyDescent="0.25">
      <c r="A70" s="19">
        <f t="shared" si="5"/>
        <v>660</v>
      </c>
      <c r="B70" s="20">
        <f t="shared" si="0"/>
        <v>21120</v>
      </c>
      <c r="C70" s="20">
        <f t="shared" si="1"/>
        <v>8200</v>
      </c>
      <c r="D70" s="20">
        <f t="shared" si="2"/>
        <v>9405</v>
      </c>
      <c r="E70" s="20">
        <f t="shared" si="3"/>
        <v>17605</v>
      </c>
      <c r="F70" s="20">
        <f t="shared" si="4"/>
        <v>3515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spans="1:17" x14ac:dyDescent="0.25">
      <c r="A71" s="19">
        <f t="shared" si="5"/>
        <v>690</v>
      </c>
      <c r="B71" s="20">
        <f t="shared" si="0"/>
        <v>22080</v>
      </c>
      <c r="C71" s="20">
        <f t="shared" si="1"/>
        <v>8200</v>
      </c>
      <c r="D71" s="20">
        <f t="shared" si="2"/>
        <v>9832.5</v>
      </c>
      <c r="E71" s="20">
        <f t="shared" si="3"/>
        <v>18032.5</v>
      </c>
      <c r="F71" s="20">
        <f t="shared" si="4"/>
        <v>4047.5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1:17" x14ac:dyDescent="0.25">
      <c r="A72" s="19">
        <f t="shared" si="5"/>
        <v>720</v>
      </c>
      <c r="B72" s="20">
        <f t="shared" si="0"/>
        <v>23040</v>
      </c>
      <c r="C72" s="20">
        <f t="shared" si="1"/>
        <v>8200</v>
      </c>
      <c r="D72" s="20">
        <f t="shared" si="2"/>
        <v>10260</v>
      </c>
      <c r="E72" s="20">
        <f t="shared" si="3"/>
        <v>18460</v>
      </c>
      <c r="F72" s="20">
        <f t="shared" si="4"/>
        <v>4580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</row>
    <row r="73" spans="1:17" x14ac:dyDescent="0.25">
      <c r="A73" s="19">
        <f t="shared" si="5"/>
        <v>750</v>
      </c>
      <c r="B73" s="20">
        <f t="shared" si="0"/>
        <v>24000</v>
      </c>
      <c r="C73" s="20">
        <f t="shared" si="1"/>
        <v>8200</v>
      </c>
      <c r="D73" s="20">
        <f t="shared" si="2"/>
        <v>10687.5</v>
      </c>
      <c r="E73" s="20">
        <f t="shared" si="3"/>
        <v>18887.5</v>
      </c>
      <c r="F73" s="20">
        <f t="shared" si="4"/>
        <v>5112.5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1:17" x14ac:dyDescent="0.25">
      <c r="A74" s="19">
        <f t="shared" si="5"/>
        <v>780</v>
      </c>
      <c r="B74" s="20">
        <f t="shared" si="0"/>
        <v>24960</v>
      </c>
      <c r="C74" s="20">
        <f t="shared" si="1"/>
        <v>8200</v>
      </c>
      <c r="D74" s="20">
        <f t="shared" si="2"/>
        <v>11115</v>
      </c>
      <c r="E74" s="20">
        <f t="shared" si="3"/>
        <v>19315</v>
      </c>
      <c r="F74" s="20">
        <f t="shared" si="4"/>
        <v>5645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1:17" x14ac:dyDescent="0.25">
      <c r="A75" s="19">
        <f t="shared" si="5"/>
        <v>810</v>
      </c>
      <c r="B75" s="20">
        <f t="shared" si="0"/>
        <v>25920</v>
      </c>
      <c r="C75" s="20">
        <f t="shared" si="1"/>
        <v>8200</v>
      </c>
      <c r="D75" s="20">
        <f t="shared" si="2"/>
        <v>11542.5</v>
      </c>
      <c r="E75" s="20">
        <f t="shared" si="3"/>
        <v>19742.5</v>
      </c>
      <c r="F75" s="20">
        <f t="shared" si="4"/>
        <v>6177.5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7" x14ac:dyDescent="0.25">
      <c r="A76" s="19">
        <f t="shared" si="5"/>
        <v>840</v>
      </c>
      <c r="B76" s="20">
        <f t="shared" si="0"/>
        <v>26880</v>
      </c>
      <c r="C76" s="20">
        <f t="shared" si="1"/>
        <v>8200</v>
      </c>
      <c r="D76" s="20">
        <f t="shared" si="2"/>
        <v>11970</v>
      </c>
      <c r="E76" s="20">
        <f t="shared" si="3"/>
        <v>20170</v>
      </c>
      <c r="F76" s="20">
        <f t="shared" si="4"/>
        <v>6710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1:17" x14ac:dyDescent="0.25">
      <c r="A77" s="19">
        <f t="shared" si="5"/>
        <v>870</v>
      </c>
      <c r="B77" s="20">
        <f t="shared" si="0"/>
        <v>27840</v>
      </c>
      <c r="C77" s="20">
        <f t="shared" si="1"/>
        <v>8200</v>
      </c>
      <c r="D77" s="20">
        <f t="shared" si="2"/>
        <v>12397.5</v>
      </c>
      <c r="E77" s="20">
        <f t="shared" si="3"/>
        <v>20597.5</v>
      </c>
      <c r="F77" s="20">
        <f t="shared" si="4"/>
        <v>7242.5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 x14ac:dyDescent="0.25">
      <c r="A78" s="19">
        <f t="shared" si="5"/>
        <v>900</v>
      </c>
      <c r="B78" s="20">
        <f t="shared" si="0"/>
        <v>28800</v>
      </c>
      <c r="C78" s="20">
        <f t="shared" si="1"/>
        <v>8200</v>
      </c>
      <c r="D78" s="20">
        <f t="shared" si="2"/>
        <v>12825</v>
      </c>
      <c r="E78" s="20">
        <f t="shared" si="3"/>
        <v>21025</v>
      </c>
      <c r="F78" s="20">
        <f t="shared" si="4"/>
        <v>7775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43" t="s">
        <v>136</v>
      </c>
      <c r="B81" s="43"/>
      <c r="C81" s="43"/>
      <c r="D81" s="43"/>
      <c r="E81" s="43"/>
      <c r="F81" s="4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43"/>
      <c r="B82" s="43"/>
      <c r="C82" s="43"/>
      <c r="D82" s="43"/>
      <c r="E82" s="43"/>
      <c r="F82" s="4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43"/>
      <c r="B83" s="43"/>
      <c r="C83" s="43"/>
      <c r="D83" s="43"/>
      <c r="E83" s="43"/>
      <c r="F83" s="4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</sheetData>
  <mergeCells count="39">
    <mergeCell ref="A46:F46"/>
    <mergeCell ref="A81:F83"/>
    <mergeCell ref="A35:I35"/>
    <mergeCell ref="A41:I43"/>
    <mergeCell ref="J35:Q35"/>
    <mergeCell ref="P36:Q36"/>
    <mergeCell ref="P37:Q37"/>
    <mergeCell ref="P38:Q38"/>
    <mergeCell ref="P39:Q39"/>
    <mergeCell ref="P40:Q40"/>
    <mergeCell ref="P41:Q41"/>
    <mergeCell ref="M7:Q7"/>
    <mergeCell ref="A9:H9"/>
    <mergeCell ref="J9:Q9"/>
    <mergeCell ref="A18:H21"/>
    <mergeCell ref="A23:D23"/>
    <mergeCell ref="E23:H23"/>
    <mergeCell ref="N10:Q10"/>
    <mergeCell ref="P11:Q11"/>
    <mergeCell ref="P12:Q12"/>
    <mergeCell ref="P13:Q13"/>
    <mergeCell ref="P14:Q14"/>
    <mergeCell ref="P15:Q15"/>
    <mergeCell ref="A1:Q1"/>
    <mergeCell ref="A2:Q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M4:Q4"/>
    <mergeCell ref="M5:Q6"/>
  </mergeCells>
  <conditionalFormatting sqref="F48:F78">
    <cfRule type="cellIs" dxfId="6" priority="7" operator="lessThan">
      <formula>0</formula>
    </cfRule>
    <cfRule type="cellIs" dxfId="5" priority="8" operator="greaterThanOrEqual">
      <formula>0</formula>
    </cfRule>
  </conditionalFormatting>
  <conditionalFormatting sqref="I37:I39">
    <cfRule type="cellIs" dxfId="4" priority="4" operator="lessThan">
      <formula>0</formula>
    </cfRule>
    <cfRule type="cellIs" dxfId="3" priority="5" operator="greaterThanOrEqual">
      <formula>0</formula>
    </cfRule>
  </conditionalFormatting>
  <conditionalFormatting sqref="K13">
    <cfRule type="cellIs" dxfId="2" priority="1" operator="lessThanOrEqual">
      <formula>0</formula>
    </cfRule>
  </conditionalFormatting>
  <conditionalFormatting sqref="K17">
    <cfRule type="cellIs" dxfId="1" priority="2" operator="lessThan">
      <formula>0</formula>
    </cfRule>
    <cfRule type="cellIs" dxfId="0" priority="3" operator="greaterThanOrEqual">
      <formula>0</formula>
    </cfRule>
  </conditionalFormatting>
  <conditionalFormatting sqref="K37:O41">
    <cfRule type="colorScale" priority="6">
      <colorScale>
        <cfvo type="min"/>
        <cfvo type="percentile" val="50"/>
        <cfvo type="max"/>
        <color rgb="FFDCFCE7"/>
        <color rgb="FFFEF3C7"/>
        <color rgb="FFFEE2E2"/>
      </colorScale>
    </cfRule>
  </conditionalFormatting>
  <dataValidations count="4">
    <dataValidation type="list" sqref="B12" xr:uid="{00000000-0002-0000-0000-000000000000}">
      <formula1>"Monat,Quartal,Jahr"</formula1>
    </dataValidation>
    <dataValidation type="decimal" sqref="B37:D39" xr:uid="{00000000-0002-0000-0000-000001000000}">
      <formula1>-1</formula1>
      <formula2>5</formula2>
    </dataValidation>
    <dataValidation operator="greaterThanOrEqual" sqref="E37:E39" xr:uid="{00000000-0002-0000-0000-000002000000}">
      <formula1>0</formula1>
    </dataValidation>
    <dataValidation type="decimal" operator="greaterThanOrEqual" sqref="C25:C31 B13:B16 G25:G31" xr:uid="{00000000-0002-0000-0000-000003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Break-Even 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2026-05-10T10:46:16Z</dcterms:modified>
</cp:coreProperties>
</file>