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aktien\"/>
    </mc:Choice>
  </mc:AlternateContent>
  <xr:revisionPtr revIDLastSave="0" documentId="13_ncr:1_{9EB3278F-86CC-4F04-A2E9-8F771375DC9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📊 Depot" sheetId="1" r:id="rId1"/>
    <sheet name="📝 Transaktionen" sheetId="2" r:id="rId2"/>
    <sheet name="🧾 Steuer &amp; Freistellung" sheetId="3" r:id="rId3"/>
    <sheet name="💰 Dividenden" sheetId="4" r:id="rId4"/>
    <sheet name="⚙️ Einstellungen" sheetId="5" r:id="rId5"/>
  </sheets>
  <externalReferences>
    <externalReference r:id="rId6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8" i="1" l="1"/>
  <c r="N15" i="4"/>
  <c r="M15" i="4"/>
  <c r="L15" i="4"/>
  <c r="K15" i="4"/>
  <c r="J15" i="4"/>
  <c r="I15" i="4"/>
  <c r="H15" i="4"/>
  <c r="G15" i="4"/>
  <c r="F15" i="4"/>
  <c r="E15" i="4"/>
  <c r="D15" i="4"/>
  <c r="C15" i="4"/>
  <c r="O14" i="4"/>
  <c r="O13" i="4"/>
  <c r="O12" i="4"/>
  <c r="O11" i="4"/>
  <c r="O10" i="4"/>
  <c r="O9" i="4"/>
  <c r="O8" i="4"/>
  <c r="O7" i="4"/>
  <c r="O6" i="4"/>
  <c r="O5" i="4"/>
  <c r="O15" i="4" s="1"/>
  <c r="B23" i="3"/>
  <c r="B11" i="3"/>
  <c r="B13" i="3" s="1"/>
  <c r="B10" i="3"/>
  <c r="B12" i="3" s="1"/>
  <c r="J20" i="2"/>
  <c r="G20" i="2"/>
  <c r="J19" i="2"/>
  <c r="G19" i="2"/>
  <c r="G18" i="2"/>
  <c r="J18" i="2" s="1"/>
  <c r="J17" i="2"/>
  <c r="G17" i="2"/>
  <c r="J16" i="2"/>
  <c r="G16" i="2"/>
  <c r="G15" i="2"/>
  <c r="J15" i="2" s="1"/>
  <c r="J14" i="2"/>
  <c r="G14" i="2"/>
  <c r="G13" i="2"/>
  <c r="J13" i="2" s="1"/>
  <c r="G12" i="2"/>
  <c r="J12" i="2" s="1"/>
  <c r="J11" i="2"/>
  <c r="G11" i="2"/>
  <c r="J10" i="2"/>
  <c r="G10" i="2"/>
  <c r="G9" i="2"/>
  <c r="J9" i="2" s="1"/>
  <c r="G8" i="2"/>
  <c r="J8" i="2" s="1"/>
  <c r="J4" i="2"/>
  <c r="G4" i="2"/>
  <c r="D4" i="2"/>
  <c r="A4" i="2"/>
  <c r="M18" i="1"/>
  <c r="L18" i="1"/>
  <c r="G18" i="1"/>
  <c r="F18" i="1"/>
  <c r="E18" i="1"/>
  <c r="M17" i="1"/>
  <c r="K17" i="1"/>
  <c r="J17" i="1"/>
  <c r="I17" i="1"/>
  <c r="M16" i="1"/>
  <c r="K16" i="1"/>
  <c r="J16" i="1"/>
  <c r="I16" i="1"/>
  <c r="M15" i="1"/>
  <c r="K15" i="1"/>
  <c r="J15" i="1"/>
  <c r="I15" i="1"/>
  <c r="M14" i="1"/>
  <c r="K14" i="1"/>
  <c r="J14" i="1"/>
  <c r="I14" i="1"/>
  <c r="M13" i="1"/>
  <c r="K13" i="1"/>
  <c r="J13" i="1"/>
  <c r="I13" i="1"/>
  <c r="M12" i="1"/>
  <c r="K12" i="1"/>
  <c r="J12" i="1"/>
  <c r="I12" i="1"/>
  <c r="M11" i="1"/>
  <c r="K11" i="1"/>
  <c r="J11" i="1"/>
  <c r="I11" i="1"/>
  <c r="M10" i="1"/>
  <c r="K10" i="1"/>
  <c r="J10" i="1"/>
  <c r="I10" i="1"/>
  <c r="M9" i="1"/>
  <c r="K9" i="1"/>
  <c r="J9" i="1"/>
  <c r="I9" i="1"/>
  <c r="M8" i="1"/>
  <c r="K8" i="1"/>
  <c r="J8" i="1"/>
  <c r="I8" i="1"/>
  <c r="I18" i="1" s="1"/>
  <c r="L4" i="1"/>
  <c r="J4" i="1"/>
  <c r="H4" i="1"/>
  <c r="D4" i="1"/>
  <c r="F4" i="1" s="1"/>
  <c r="B4" i="1"/>
  <c r="B16" i="3" l="1"/>
  <c r="B15" i="3"/>
  <c r="B14" i="3"/>
  <c r="K18" i="1"/>
  <c r="J18" i="1"/>
</calcChain>
</file>

<file path=xl/sharedStrings.xml><?xml version="1.0" encoding="utf-8"?>
<sst xmlns="http://schemas.openxmlformats.org/spreadsheetml/2006/main" count="273" uniqueCount="213">
  <si>
    <t>Professionelle Verwaltung Ihres Wertpapierdepots • Alle Berechnungen automatisch</t>
  </si>
  <si>
    <t>GESAMTDEPOTWERT</t>
  </si>
  <si>
    <t>GESAMTGEWINN / -VERLUST</t>
  </si>
  <si>
    <t>GESAMTRENDITE</t>
  </si>
  <si>
    <t>DIVIDENDEN (NETTO)</t>
  </si>
  <si>
    <t>POSITIONEN</t>
  </si>
  <si>
    <t>FREISTELLUNGSAUFTRAG</t>
  </si>
  <si>
    <t>Aktueller Gesamtwert</t>
  </si>
  <si>
    <t>unrealisiert (vor Steuern)</t>
  </si>
  <si>
    <t>Performance gesamt</t>
  </si>
  <si>
    <t>Erhaltene Netto-Dividenden</t>
  </si>
  <si>
    <t>Aktive Wertpapiere</t>
  </si>
  <si>
    <t>Ausgenutzt (Basis: Einstellungen)</t>
  </si>
  <si>
    <t>#</t>
  </si>
  <si>
    <t>Wertpapier / Bezeichnung</t>
  </si>
  <si>
    <t>ISIN</t>
  </si>
  <si>
    <t>Sektor</t>
  </si>
  <si>
    <t>Stück</t>
  </si>
  <si>
    <t>Kaufkurs (€)</t>
  </si>
  <si>
    <t>Kaufgebühren (€)</t>
  </si>
  <si>
    <t>Akt. Kurs (€)</t>
  </si>
  <si>
    <t>Akt. Wert (€)</t>
  </si>
  <si>
    <t>Kursgewinn/-verlust (€)</t>
  </si>
  <si>
    <t>Rendite (%)</t>
  </si>
  <si>
    <t>Div. netto (€)</t>
  </si>
  <si>
    <t>Div.-Rendite (%)</t>
  </si>
  <si>
    <t>Stop-Loss (€)</t>
  </si>
  <si>
    <t>SAP SE</t>
  </si>
  <si>
    <t>DE0007164600</t>
  </si>
  <si>
    <t>Technologie</t>
  </si>
  <si>
    <t>Allianz SE</t>
  </si>
  <si>
    <t>DE0008404005</t>
  </si>
  <si>
    <t>Versicherung</t>
  </si>
  <si>
    <t>Deutsche Telekom AG</t>
  </si>
  <si>
    <t>DE0005557508</t>
  </si>
  <si>
    <t>Telekommunik.</t>
  </si>
  <si>
    <t>Münchener Rück AG</t>
  </si>
  <si>
    <t>DE0008430026</t>
  </si>
  <si>
    <t>Siemens AG</t>
  </si>
  <si>
    <t>DE0007236101</t>
  </si>
  <si>
    <t>Industrie</t>
  </si>
  <si>
    <t>Volkswagen AG Vz.</t>
  </si>
  <si>
    <t>DE0007664039</t>
  </si>
  <si>
    <t>Automobil</t>
  </si>
  <si>
    <t>BASF SE</t>
  </si>
  <si>
    <t>DE000BASF111</t>
  </si>
  <si>
    <t>Chemie</t>
  </si>
  <si>
    <t>Infineon Technologies AG</t>
  </si>
  <si>
    <t>DE0006231004</t>
  </si>
  <si>
    <t>Halbleiter</t>
  </si>
  <si>
    <t>Bayer AG</t>
  </si>
  <si>
    <t>DE000BAY0017</t>
  </si>
  <si>
    <t>Pharma</t>
  </si>
  <si>
    <t>Deutsche Börse AG</t>
  </si>
  <si>
    <t>DE0005810055</t>
  </si>
  <si>
    <t>Finanzen</t>
  </si>
  <si>
    <t>SUMME / DURCHSCHNITT</t>
  </si>
  <si>
    <t>ℹ️  LEGENDE &amp; HINWEISE</t>
  </si>
  <si>
    <t>🔵 Blaue Zellen</t>
  </si>
  <si>
    <t>Eingabefelder – diese Werte manuell eintragen oder aktualisieren</t>
  </si>
  <si>
    <t>🟡 Gelbe Zellen</t>
  </si>
  <si>
    <t>Pflichtfelder – bitte ausfüllen für korrekte Berechnungen</t>
  </si>
  <si>
    <t>🟢 Grün (G/V)</t>
  </si>
  <si>
    <t>Kursgewinn – Position liegt im Plus</t>
  </si>
  <si>
    <t>🔴 Rot (G/V)</t>
  </si>
  <si>
    <t>Kursverlust – Position liegt im Minus</t>
  </si>
  <si>
    <t>⚠️  Stop-Loss</t>
  </si>
  <si>
    <t>Goldene Markierung: Aktueller Kurs unterschreitet Stop-Loss-Marke</t>
  </si>
  <si>
    <t>📝  TRANSAKTIONSBUCH – Alle Käufe &amp; Verkäufe</t>
  </si>
  <si>
    <t>Vollständige Dokumentation aller Wertpapier-Transaktionen inkl. steuerlicher Kennzahlen</t>
  </si>
  <si>
    <t>REALISIERTE GEWINNE
(Verkäufe)</t>
  </si>
  <si>
    <t>REALISIERTE VERLUSTE
(Verkäufe)</t>
  </si>
  <si>
    <t>GEZAHLTE GEBÜHREN
(Gesamt)</t>
  </si>
  <si>
    <t>ANZ. TRANSAKTIONEN</t>
  </si>
  <si>
    <t>Datum</t>
  </si>
  <si>
    <t>Wertpapier</t>
  </si>
  <si>
    <t>Typ</t>
  </si>
  <si>
    <t>Kurs (€)</t>
  </si>
  <si>
    <t>Volumen (€)</t>
  </si>
  <si>
    <t>WKN/ISIN</t>
  </si>
  <si>
    <t>Gebühren (€)</t>
  </si>
  <si>
    <t>Einstandswert (€)</t>
  </si>
  <si>
    <t>Gewinn/Verlust (€)</t>
  </si>
  <si>
    <t>Bemerkung</t>
  </si>
  <si>
    <t>15.01.2025</t>
  </si>
  <si>
    <t>Kauf</t>
  </si>
  <si>
    <t>22.01.2025</t>
  </si>
  <si>
    <t>03.02.2025</t>
  </si>
  <si>
    <t>10.02.2025</t>
  </si>
  <si>
    <t>28.02.2025</t>
  </si>
  <si>
    <t>05.03.2025</t>
  </si>
  <si>
    <t>12.03.2025</t>
  </si>
  <si>
    <t>20.03.2025</t>
  </si>
  <si>
    <t>01.04.2025</t>
  </si>
  <si>
    <t>08.04.2025</t>
  </si>
  <si>
    <t>15.04.2025</t>
  </si>
  <si>
    <t>Dividende</t>
  </si>
  <si>
    <t>Netto nach KESt</t>
  </si>
  <si>
    <t>20.04.2025</t>
  </si>
  <si>
    <t>30.04.2025</t>
  </si>
  <si>
    <t>Verkauf</t>
  </si>
  <si>
    <t>Teilverkauf</t>
  </si>
  <si>
    <t>🧾  STEUERÜBERSICHT &amp; FREISTELLUNGSAUFTRAG</t>
  </si>
  <si>
    <t>Berechnung der Kapitalertragssteuer (KESt 25% + Soli) gemäß deutschem Steuerrecht</t>
  </si>
  <si>
    <t>1. FREISTELLUNGSAUFTRAG &amp; SPARERPAUSCHBETRAG</t>
  </si>
  <si>
    <t>Sparerpauschbetrag (gesetzlich)</t>
  </si>
  <si>
    <t>Einzelperson: 1.000 € | Verheiratet: 2.000 €</t>
  </si>
  <si>
    <t>Freistellungsauftrag (beantragt)</t>
  </si>
  <si>
    <t>Aus Einstellungen-Blatt</t>
  </si>
  <si>
    <t>Erhaltene Dividenden (brutto)</t>
  </si>
  <si>
    <t>Manuell aus Jahresabschluss eintragen</t>
  </si>
  <si>
    <t>Realisierte Kursgewinne</t>
  </si>
  <si>
    <t>Aus Transaktionsbuch (Verkäufe &gt; Einkauf)</t>
  </si>
  <si>
    <t>Realisierte Kursverluste (Verrechnung)</t>
  </si>
  <si>
    <t>Verluste können mit Gewinnen verrechnet werden</t>
  </si>
  <si>
    <t>Gesamte Kapitalerträge (brutto)</t>
  </si>
  <si>
    <t>Automatisch berechnet</t>
  </si>
  <si>
    <t>Genutzte Pauschale</t>
  </si>
  <si>
    <t>Max. bis Höhe des FSA</t>
  </si>
  <si>
    <t>Steuerpflichtiger Betrag</t>
  </si>
  <si>
    <t>Ertragsanteil nach Abzug der Pauschale</t>
  </si>
  <si>
    <t>KapitalertragsSTEUER (25%)</t>
  </si>
  <si>
    <t>Abgeltungssteuer 25%</t>
  </si>
  <si>
    <t>Solidaritätszuschlag (5,5% der KESt)</t>
  </si>
  <si>
    <t>5,5% auf die KESt</t>
  </si>
  <si>
    <t>Kirchensteuer (8% – falls zutreffend)</t>
  </si>
  <si>
    <t>Nur wenn kirchensteuerpflichtig (0 eingeben wenn nicht)</t>
  </si>
  <si>
    <t>GESAMTSTEUERLAST</t>
  </si>
  <si>
    <t>KESt + Soli + ggf. KiSt</t>
  </si>
  <si>
    <t>2. VERLUSTTOPF (GV-Topf) – Verlustverrechnung</t>
  </si>
  <si>
    <t>GV-Topf Vorjahr (Verlustvortrag)</t>
  </si>
  <si>
    <t>Aus der Jahresbescheinigung der Bank entnehmen</t>
  </si>
  <si>
    <t>Neu realisierte Verluste (lfd. Jahr)</t>
  </si>
  <si>
    <t>Tatsächlich realisierte Verluste aus Verkäufen</t>
  </si>
  <si>
    <t>Bereits verrechnete Gewinne</t>
  </si>
  <si>
    <t>Wurden Gewinne mit Verlusten verrechnet?</t>
  </si>
  <si>
    <t>Verbleibender GV-Topf</t>
  </si>
  <si>
    <t>Automatisch berechnet – Verlustvortrag für Folgejahr</t>
  </si>
  <si>
    <t>3. HINWEISE ZUM DEUTSCHEN STEUERRECHT (Stand 2025)</t>
  </si>
  <si>
    <t>📌 Kapitalertragssteuer (KESt): 25% auf Zinsen, Dividenden und realisierte Kursgewinne (§ 20 EStG)</t>
  </si>
  <si>
    <t>📌 Solidaritätszuschlag: 5,5% der Kapitalertragssteuer (für die meisten Steuerpflichtigen)</t>
  </si>
  <si>
    <t>📌 Sparerpauschbetrag 2024/2025: 1.000 € (Einzelperson) / 2.000 € (zusammenveranlagte Ehepaare)</t>
  </si>
  <si>
    <t>📌 Freistellungsauftrag: Bis zur Höhe des Sparerpauschbetrags bei der depotführenden Bank beantragen</t>
  </si>
  <si>
    <t>📌 Verlustverrechnung: Aktienverluste können nur mit Aktiengewinnen verrechnet werden (§ 20 Abs. 6 EStG)</t>
  </si>
  <si>
    <t>📌 Teilfreistellung bei Fonds/ETFs: 30% der Erträge steuerfrei (Teilfreistellungsquote Aktienfonds)</t>
  </si>
  <si>
    <t>⚠️  Diese Vorlage dient nur zur Orientierung – keine Steuerberatung. Für verbindliche Auskünfte Steuerberater konsultieren.</t>
  </si>
  <si>
    <t>💰  DIVIDENDEN-TRACKER 2025</t>
  </si>
  <si>
    <t>Monatliche Dividendenübersicht • Nettobetrag nach Kapitalertragssteuer (25% + Soli)</t>
  </si>
  <si>
    <t>Turnus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</si>
  <si>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</si>
  <si>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</si>
  <si>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</si>
  <si>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</si>
  <si>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</si>
  <si>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</si>
  <si>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</si>
  <si>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</si>
  <si>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</si>
  <si>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</si>
  <si>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</si>
  <si>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</si>
  <si>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Jahresgesamt (€)</t>
  </si>
  <si>
    <t>jährlich</t>
  </si>
  <si>
    <t>ausgesetzt</t>
  </si>
  <si>
    <t>GESAMT pro Monat</t>
  </si>
  <si>
    <t>⚙️  PERSÖNLICHE EINSTELLUNGEN</t>
  </si>
  <si>
    <t>Bitte Ihre persönlichen Daten und Steuersituation hier eintragen – alle anderen Blätter nutzen diese Werte</t>
  </si>
  <si>
    <t>PERSÖNLICHE DATEN</t>
  </si>
  <si>
    <t>Depot-Bezeichnung</t>
  </si>
  <si>
    <t>Mein Aktienportfolio 2025</t>
  </si>
  <si>
    <t>Frei wählbarer Name für dieses Depot</t>
  </si>
  <si>
    <t>Depotbank</t>
  </si>
  <si>
    <t>ING-DiBa AG</t>
  </si>
  <si>
    <t>Name Ihrer depotführenden Bank</t>
  </si>
  <si>
    <t>Depot-Nummer</t>
  </si>
  <si>
    <t>123456789</t>
  </si>
  <si>
    <t>Ihre Depotnummer (optional)</t>
  </si>
  <si>
    <t>Währung</t>
  </si>
  <si>
    <t>EUR (€)</t>
  </si>
  <si>
    <t>Basiswährung des Depots</t>
  </si>
  <si>
    <t>Beginn der Aufzeichnung</t>
  </si>
  <si>
    <t>01.01.2025</t>
  </si>
  <si>
    <t>Start der Depotführung mit dieser Vorlage</t>
  </si>
  <si>
    <t>STEUERLICHE EINSTELLUNGEN</t>
  </si>
  <si>
    <t>Freistellungsauftrag (€)</t>
  </si>
  <si>
    <t>Beantragter Betrag bei der Depotbank (max. 1.000 €)</t>
  </si>
  <si>
    <t>GV-Topf Vorjahr (€)</t>
  </si>
  <si>
    <t>Verlustvortrag aus dem Vorjahr (aus Jahresbescheinigung)</t>
  </si>
  <si>
    <t>Kirchensteuer?</t>
  </si>
  <si>
    <t>Nein</t>
  </si>
  <si>
    <t>Ja / Nein – beeinflusst die Steuerberechnung</t>
  </si>
  <si>
    <t>Kirchensteuer-Satz (%)</t>
  </si>
  <si>
    <t>8% (Bayern/BaWü) oder 9% (andere Bundesländer)</t>
  </si>
  <si>
    <t>Günstigerprüfung?</t>
  </si>
  <si>
    <t>Ja, wenn persönlicher Steuersatz &lt; 25% (Anlage KAP)</t>
  </si>
  <si>
    <t>HANDELSKOSTEN (Standardwerte)</t>
  </si>
  <si>
    <t>Kaufgebühren Standard (€)</t>
  </si>
  <si>
    <t>Pauschale Ordergebühr beim Kauf</t>
  </si>
  <si>
    <t>Verkaufgebühren Standard (€)</t>
  </si>
  <si>
    <t>Pauschale Ordergebühr beim Verkauf</t>
  </si>
  <si>
    <t>Börsenplatzgebühr (€)</t>
  </si>
  <si>
    <t>Ggf. zusätzliche Börsenplatzgebühr</t>
  </si>
  <si>
    <t>Sparplan-Gebühr (%)</t>
  </si>
  <si>
    <t>Bei Sparplänen: Gebühr in % vom Ordervolumen</t>
  </si>
  <si>
    <t>ANZEIGEOPTIONEN</t>
  </si>
  <si>
    <t>Zielrendite p.a. (%)</t>
  </si>
  <si>
    <t>Ihre persönliche Zielrendite für Ampel-Anzeige</t>
  </si>
  <si>
    <t>Stop-Loss Standard (%)</t>
  </si>
  <si>
    <t>Standard Stop-Loss-Schwelle (z.B. -15% vom Kaufkurs)</t>
  </si>
  <si>
    <t>Bewertungsintervall</t>
  </si>
  <si>
    <t>Wöchentlich</t>
  </si>
  <si>
    <t>Wie oft aktualisieren Sie die Kurse?</t>
  </si>
  <si>
    <t>🏦  AKTIENDEPOT-VERWALTUNG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</si>
</sst>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.##000&quot; €&quot;"/>
    <numFmt numFmtId="165" formatCode="0.0%"/>
    <numFmt numFmtId="166" formatCode="#,##0.00&quot; €&quot;"/>
  </numFmts>
  <fonts count="34" x14ac:knownFonts="1">
    <font>
      <sz val="11"/>
      <color theme="1"/>
      <name val="Calibri"/>
      <family val="2"/>
      <charset val="1"/>
    </font>
    <font>
      <b/>
      <sz val="18"/>
      <color rgb="FFFFFFFF"/>
      <name val="Arial"/>
      <charset val="1"/>
    </font>
    <font>
      <i/>
      <sz val="9"/>
      <color rgb="FFA0B8D0"/>
      <name val="Arial"/>
      <charset val="1"/>
    </font>
    <font>
      <b/>
      <sz val="8"/>
      <color rgb="FF8AAEC8"/>
      <name val="Arial"/>
      <charset val="1"/>
    </font>
    <font>
      <b/>
      <sz val="16"/>
      <color rgb="FFF4B942"/>
      <name val="Arial"/>
      <charset val="1"/>
    </font>
    <font>
      <sz val="8"/>
      <color rgb="FF8AAEC8"/>
      <name val="Arial"/>
      <charset val="1"/>
    </font>
    <font>
      <b/>
      <sz val="9"/>
      <color rgb="FFFFFFFF"/>
      <name val="Arial"/>
      <charset val="1"/>
    </font>
    <font>
      <sz val="9"/>
      <color rgb="FF666666"/>
      <name val="Arial"/>
      <charset val="1"/>
    </font>
    <font>
      <b/>
      <sz val="10"/>
      <color rgb="FF1A3A5C"/>
      <name val="Arial"/>
      <charset val="1"/>
    </font>
    <font>
      <sz val="9"/>
      <color rgb="FF555555"/>
      <name val="Arial"/>
      <charset val="1"/>
    </font>
    <font>
      <sz val="9"/>
      <color rgb="FF333333"/>
      <name val="Arial"/>
      <charset val="1"/>
    </font>
    <font>
      <sz val="10"/>
      <color rgb="FF0000CC"/>
      <name val="Arial"/>
      <charset val="1"/>
    </font>
    <font>
      <sz val="10"/>
      <color rgb="FF000000"/>
      <name val="Arial"/>
      <charset val="1"/>
    </font>
    <font>
      <b/>
      <sz val="10"/>
      <color rgb="FFFFFFFF"/>
      <name val="Arial"/>
      <charset val="1"/>
    </font>
    <font>
      <b/>
      <sz val="10"/>
      <color rgb="FFF4B942"/>
      <name val="Arial"/>
      <charset val="1"/>
    </font>
    <font>
      <b/>
      <sz val="9"/>
      <color rgb="FF1A3A5C"/>
      <name val="Arial"/>
      <charset val="1"/>
    </font>
    <font>
      <b/>
      <sz val="16"/>
      <color rgb="FFFFFFFF"/>
      <name val="Arial"/>
      <charset val="1"/>
    </font>
    <font>
      <b/>
      <sz val="15"/>
      <color rgb="FFF4B942"/>
      <name val="Arial"/>
      <charset val="1"/>
    </font>
    <font>
      <sz val="9"/>
      <color rgb="FF0000CC"/>
      <name val="Arial"/>
      <charset val="1"/>
    </font>
    <font>
      <b/>
      <sz val="9"/>
      <color rgb="FF276221"/>
      <name val="Arial"/>
      <charset val="1"/>
    </font>
    <font>
      <sz val="10"/>
      <name val="Arial"/>
      <charset val="1"/>
    </font>
    <font>
      <i/>
      <sz val="9"/>
      <color rgb="FF555555"/>
      <name val="Arial"/>
      <charset val="1"/>
    </font>
    <font>
      <b/>
      <sz val="9"/>
      <color rgb="FF9C6500"/>
      <name val="Arial"/>
      <charset val="1"/>
    </font>
    <font>
      <b/>
      <sz val="9"/>
      <color rgb="FF9C0006"/>
      <name val="Arial"/>
      <charset val="1"/>
    </font>
    <font>
      <b/>
      <sz val="11"/>
      <color rgb="FFFFFFFF"/>
      <name val="Arial"/>
      <charset val="1"/>
    </font>
    <font>
      <b/>
      <sz val="10"/>
      <color rgb="FF0000CC"/>
      <name val="Arial"/>
      <charset val="1"/>
    </font>
    <font>
      <b/>
      <sz val="10"/>
      <color rgb="FF000000"/>
      <name val="Arial"/>
      <charset val="1"/>
    </font>
    <font>
      <b/>
      <sz val="11"/>
      <color rgb="FFF4B942"/>
      <name val="Arial"/>
      <charset val="1"/>
    </font>
    <font>
      <b/>
      <sz val="10"/>
      <name val="Arial"/>
      <charset val="1"/>
    </font>
    <font>
      <b/>
      <sz val="9"/>
      <color rgb="FF333333"/>
      <name val="Arial"/>
      <charset val="1"/>
    </font>
    <font>
      <sz val="9"/>
      <color rgb="FF276221"/>
      <name val="Arial"/>
      <charset val="1"/>
    </font>
    <font>
      <b/>
      <sz val="10"/>
      <color rgb="FF1A6B3A"/>
      <name val="Arial"/>
      <charset val="1"/>
    </font>
    <font>
      <sz val="9"/>
      <color rgb="FF9C0006"/>
      <name val="Arial"/>
      <charset val="1"/>
    </font>
    <font>
      <sz val="10"/>
      <color rgb="FF1A3A5C"/>
      <name val="Arial"/>
      <charset val="1"/>
    </font>
  </fonts>
  <fills count="13">
    <fill>
      <patternFill patternType="none"/>
    </fill>
    <fill>
      <patternFill patternType="gray125"/>
    </fill>
    <fill>
      <patternFill patternType="solid">
        <fgColor rgb="FF1A3A5C"/>
        <bgColor rgb="FF333333"/>
      </patternFill>
    </fill>
    <fill>
      <patternFill patternType="solid">
        <fgColor rgb="FF0D2137"/>
        <bgColor rgb="FF1A3A5C"/>
      </patternFill>
    </fill>
    <fill>
      <patternFill patternType="solid">
        <fgColor rgb="FF2E6DA4"/>
        <bgColor rgb="FF3366FF"/>
      </patternFill>
    </fill>
    <fill>
      <patternFill patternType="solid">
        <fgColor rgb="FFD6E4F0"/>
        <bgColor rgb="FFD5F0E0"/>
      </patternFill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C6EFCE"/>
        <bgColor rgb="FFD5F0E0"/>
      </patternFill>
    </fill>
    <fill>
      <patternFill patternType="solid">
        <fgColor rgb="FFFFEB9C"/>
        <bgColor rgb="FFFFF2CC"/>
      </patternFill>
    </fill>
    <fill>
      <patternFill patternType="solid">
        <fgColor rgb="FFFFC7CE"/>
        <bgColor rgb="FFFFEB9C"/>
      </patternFill>
    </fill>
    <fill>
      <patternFill patternType="solid">
        <fgColor rgb="FFD5F0E0"/>
        <bgColor rgb="FFC6EFCE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4" borderId="0" xfId="0" applyFill="1"/>
    <xf numFmtId="0" fontId="17" fillId="3" borderId="0" xfId="0" applyFont="1" applyFill="1" applyAlignment="1">
      <alignment horizontal="center" vertical="center"/>
    </xf>
    <xf numFmtId="166" fontId="17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0" fillId="8" borderId="2" xfId="0" applyFont="1" applyFill="1" applyBorder="1"/>
    <xf numFmtId="0" fontId="6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3" borderId="0" xfId="0" applyFill="1"/>
    <xf numFmtId="0" fontId="6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/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3" fontId="11" fillId="6" borderId="1" xfId="0" applyNumberFormat="1" applyFont="1" applyFill="1" applyBorder="1" applyAlignment="1">
      <alignment horizontal="center" vertical="center"/>
    </xf>
    <xf numFmtId="166" fontId="11" fillId="6" borderId="1" xfId="0" applyNumberFormat="1" applyFont="1" applyFill="1" applyBorder="1" applyAlignment="1">
      <alignment horizontal="right" vertical="center"/>
    </xf>
    <xf numFmtId="166" fontId="12" fillId="5" borderId="1" xfId="0" applyNumberFormat="1" applyFont="1" applyFill="1" applyBorder="1" applyAlignment="1">
      <alignment horizontal="right" vertical="center"/>
    </xf>
    <xf numFmtId="165" fontId="12" fillId="5" borderId="1" xfId="0" applyNumberFormat="1" applyFont="1" applyFill="1" applyBorder="1" applyAlignment="1">
      <alignment horizontal="center" vertical="center"/>
    </xf>
    <xf numFmtId="10" fontId="12" fillId="5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8" fillId="7" borderId="1" xfId="0" applyFont="1" applyFill="1" applyBorder="1"/>
    <xf numFmtId="0" fontId="9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166" fontId="12" fillId="7" borderId="1" xfId="0" applyNumberFormat="1" applyFont="1" applyFill="1" applyBorder="1" applyAlignment="1">
      <alignment horizontal="right" vertical="center"/>
    </xf>
    <xf numFmtId="165" fontId="12" fillId="7" borderId="1" xfId="0" applyNumberFormat="1" applyFont="1" applyFill="1" applyBorder="1" applyAlignment="1">
      <alignment horizontal="center" vertical="center"/>
    </xf>
    <xf numFmtId="10" fontId="12" fillId="7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13" fillId="2" borderId="1" xfId="0" applyFont="1" applyFill="1" applyBorder="1" applyAlignment="1">
      <alignment horizontal="left" vertical="center"/>
    </xf>
    <xf numFmtId="3" fontId="14" fillId="2" borderId="1" xfId="0" applyNumberFormat="1" applyFont="1" applyFill="1" applyBorder="1" applyAlignment="1">
      <alignment horizontal="center" vertical="center"/>
    </xf>
    <xf numFmtId="166" fontId="14" fillId="2" borderId="1" xfId="0" applyNumberFormat="1" applyFont="1" applyFill="1" applyBorder="1" applyAlignment="1">
      <alignment horizontal="right" vertical="center"/>
    </xf>
    <xf numFmtId="165" fontId="14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/>
    </xf>
    <xf numFmtId="0" fontId="15" fillId="8" borderId="1" xfId="0" applyFont="1" applyFill="1" applyBorder="1"/>
    <xf numFmtId="0" fontId="18" fillId="6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166" fontId="20" fillId="5" borderId="1" xfId="0" applyNumberFormat="1" applyFont="1" applyFill="1" applyBorder="1" applyAlignment="1">
      <alignment horizontal="right" vertical="center"/>
    </xf>
    <xf numFmtId="166" fontId="11" fillId="5" borderId="1" xfId="0" applyNumberFormat="1" applyFont="1" applyFill="1" applyBorder="1" applyAlignment="1">
      <alignment horizontal="right" vertical="center"/>
    </xf>
    <xf numFmtId="0" fontId="21" fillId="5" borderId="1" xfId="0" applyFont="1" applyFill="1" applyBorder="1"/>
    <xf numFmtId="166" fontId="20" fillId="7" borderId="1" xfId="0" applyNumberFormat="1" applyFont="1" applyFill="1" applyBorder="1" applyAlignment="1">
      <alignment horizontal="right" vertical="center"/>
    </xf>
    <xf numFmtId="166" fontId="11" fillId="7" borderId="1" xfId="0" applyNumberFormat="1" applyFont="1" applyFill="1" applyBorder="1" applyAlignment="1">
      <alignment horizontal="right" vertical="center"/>
    </xf>
    <xf numFmtId="0" fontId="21" fillId="7" borderId="1" xfId="0" applyFont="1" applyFill="1" applyBorder="1"/>
    <xf numFmtId="0" fontId="22" fillId="10" borderId="1" xfId="0" applyFont="1" applyFill="1" applyBorder="1" applyAlignment="1">
      <alignment horizontal="center" vertical="center"/>
    </xf>
    <xf numFmtId="0" fontId="23" fillId="11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/>
    </xf>
    <xf numFmtId="166" fontId="25" fillId="6" borderId="1" xfId="0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left" vertical="center"/>
    </xf>
    <xf numFmtId="166" fontId="26" fillId="5" borderId="1" xfId="0" applyNumberFormat="1" applyFont="1" applyFill="1" applyBorder="1" applyAlignment="1">
      <alignment horizontal="right" vertical="center"/>
    </xf>
    <xf numFmtId="0" fontId="27" fillId="2" borderId="1" xfId="0" applyFont="1" applyFill="1" applyBorder="1" applyAlignment="1">
      <alignment horizontal="left" vertical="center"/>
    </xf>
    <xf numFmtId="166" fontId="27" fillId="2" borderId="1" xfId="0" applyNumberFormat="1" applyFont="1" applyFill="1" applyBorder="1" applyAlignment="1">
      <alignment horizontal="right" vertical="center"/>
    </xf>
    <xf numFmtId="0" fontId="20" fillId="6" borderId="1" xfId="0" applyFont="1" applyFill="1" applyBorder="1"/>
    <xf numFmtId="0" fontId="28" fillId="5" borderId="1" xfId="0" applyFont="1" applyFill="1" applyBorder="1"/>
    <xf numFmtId="0" fontId="6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 vertical="center"/>
    </xf>
    <xf numFmtId="166" fontId="31" fillId="12" borderId="1" xfId="0" applyNumberFormat="1" applyFont="1" applyFill="1" applyBorder="1" applyAlignment="1">
      <alignment horizontal="right" vertical="center"/>
    </xf>
    <xf numFmtId="0" fontId="30" fillId="7" borderId="1" xfId="0" applyFont="1" applyFill="1" applyBorder="1" applyAlignment="1">
      <alignment horizontal="center" vertical="center"/>
    </xf>
    <xf numFmtId="0" fontId="32" fillId="7" borderId="1" xfId="0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/>
    </xf>
    <xf numFmtId="0" fontId="13" fillId="2" borderId="1" xfId="0" applyFont="1" applyFill="1" applyBorder="1"/>
    <xf numFmtId="0" fontId="33" fillId="8" borderId="1" xfId="0" applyFont="1" applyFill="1" applyBorder="1" applyAlignment="1">
      <alignment horizontal="left" vertical="center"/>
    </xf>
    <xf numFmtId="0" fontId="25" fillId="6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left" vertical="center" wrapText="1"/>
    </xf>
    <xf numFmtId="166" fontId="25" fillId="6" borderId="1" xfId="0" applyNumberFormat="1" applyFont="1" applyFill="1" applyBorder="1" applyAlignment="1">
      <alignment horizontal="center" vertical="center"/>
    </xf>
    <xf numFmtId="4" fontId="25" fillId="6" borderId="1" xfId="0" applyNumberFormat="1" applyFont="1" applyFill="1" applyBorder="1" applyAlignment="1">
      <alignment horizontal="center" vertical="center"/>
    </xf>
    <xf numFmtId="10" fontId="25" fillId="6" borderId="1" xfId="0" applyNumberFormat="1" applyFont="1" applyFill="1" applyBorder="1" applyAlignment="1">
      <alignment horizontal="center" vertical="center"/>
    </xf>
    <xf numFmtId="0" fontId="24" fillId="4" borderId="0" xfId="0" applyFont="1" applyFill="1" applyAlignment="1">
      <alignment horizontal="left" vertical="center"/>
    </xf>
    <xf numFmtId="0" fontId="21" fillId="8" borderId="2" xfId="0" applyFont="1" applyFill="1" applyBorder="1" applyAlignment="1">
      <alignment horizontal="left" vertical="center" wrapText="1"/>
    </xf>
    <xf numFmtId="0" fontId="21" fillId="8" borderId="2" xfId="0" applyFont="1" applyFill="1" applyBorder="1"/>
    <xf numFmtId="0" fontId="10" fillId="8" borderId="2" xfId="0" applyFont="1" applyFill="1" applyBorder="1" applyAlignment="1">
      <alignment horizontal="left" vertical="center" wrapText="1"/>
    </xf>
    <xf numFmtId="0" fontId="29" fillId="6" borderId="2" xfId="0" applyFont="1" applyFill="1" applyBorder="1" applyAlignment="1">
      <alignment horizontal="left" vertical="center" wrapText="1"/>
    </xf>
  </cellXfs>
  <cellStyles count="1">
    <cellStyle name="Standard" xfId="0" builtinId="0"/>
  </cellStyles>
  <dxfs count="6">
    <dxf>
      <font>
        <b/>
        <color rgb="FF1E6B3A"/>
        <name val="Arial"/>
        <charset val="1"/>
      </font>
      <fill>
        <patternFill>
          <bgColor rgb="FFD5F0E0"/>
        </patternFill>
      </fill>
    </dxf>
    <dxf>
      <font>
        <color rgb="FF9C0006"/>
        <name val="Arial"/>
        <charset val="1"/>
      </font>
      <fill>
        <patternFill>
          <bgColor rgb="FFFFC7CE"/>
        </patternFill>
      </fill>
    </dxf>
    <dxf>
      <font>
        <color rgb="FF276221"/>
        <name val="Arial"/>
        <charset val="1"/>
      </font>
      <fill>
        <patternFill>
          <bgColor rgb="FFC6EFCE"/>
        </patternFill>
      </fill>
    </dxf>
    <dxf>
      <font>
        <b/>
        <sz val="10"/>
        <color rgb="FF8B0000"/>
        <name val="Arial"/>
        <charset val="1"/>
      </font>
      <fill>
        <patternFill>
          <bgColor rgb="FFFFD700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B0000"/>
      <rgbColor rgb="FF1A6B3A"/>
      <rgbColor rgb="FF000080"/>
      <rgbColor rgb="FF9C6500"/>
      <rgbColor rgb="FF800080"/>
      <rgbColor rgb="FF1E6B3A"/>
      <rgbColor rgb="FFBFBFBF"/>
      <rgbColor rgb="FF808080"/>
      <rgbColor rgb="FF9999FF"/>
      <rgbColor rgb="FF993366"/>
      <rgbColor rgb="FFFFF2CC"/>
      <rgbColor rgb="FFD5F0E0"/>
      <rgbColor rgb="FF660066"/>
      <rgbColor rgb="FFFF8080"/>
      <rgbColor rgb="FF2E6DA4"/>
      <rgbColor rgb="FFD6E4F0"/>
      <rgbColor rgb="FF000080"/>
      <rgbColor rgb="FFFF00FF"/>
      <rgbColor rgb="FFFFFF00"/>
      <rgbColor rgb="FF00FFFF"/>
      <rgbColor rgb="FF800080"/>
      <rgbColor rgb="FF9C0006"/>
      <rgbColor rgb="FF008080"/>
      <rgbColor rgb="FF0000FF"/>
      <rgbColor rgb="FF00CCFF"/>
      <rgbColor rgb="FFF2F2F2"/>
      <rgbColor rgb="FFC6EFCE"/>
      <rgbColor rgb="FFFFEB9C"/>
      <rgbColor rgb="FFA0B8D0"/>
      <rgbColor rgb="FFFF99CC"/>
      <rgbColor rgb="FFCC99FF"/>
      <rgbColor rgb="FFFFC7CE"/>
      <rgbColor rgb="FF3366FF"/>
      <rgbColor rgb="FF33CCCC"/>
      <rgbColor rgb="FF99CC00"/>
      <rgbColor rgb="FFFFD700"/>
      <rgbColor rgb="FFF4B942"/>
      <rgbColor rgb="FFFF6600"/>
      <rgbColor rgb="FF666666"/>
      <rgbColor rgb="FF8AAEC8"/>
      <rgbColor rgb="FF1A3A5C"/>
      <rgbColor rgb="FF339966"/>
      <rgbColor rgb="FF0D2137"/>
      <rgbColor rgb="FF276221"/>
      <rgbColor rgb="FF993300"/>
      <rgbColor rgb="FF993366"/>
      <rgbColor rgb="FF555555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instellunge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nstellunge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showGridLines="0" tabSelected="1" zoomScaleNormal="100" workbookViewId="0">
      <pane ySplit="7" topLeftCell="A8" activePane="bottomLeft" state="frozen"/>
      <selection pane="bottomLeft" activeCell="H18" sqref="H18"/>
    </sheetView>
  </sheetViews>
  <sheetFormatPr baseColWidth="10" defaultColWidth="8.7109375" defaultRowHeight="15" x14ac:dyDescent="0.25"/>
  <cols>
    <col min="1" max="1" width="13.5703125" bestFit="1" customWidth="1"/>
    <col min="2" max="2" width="24.7109375" bestFit="1" customWidth="1"/>
    <col min="3" max="3" width="13.7109375" bestFit="1" customWidth="1"/>
    <col min="4" max="4" width="13.140625" bestFit="1" customWidth="1"/>
    <col min="5" max="5" width="13.5703125" customWidth="1"/>
    <col min="6" max="6" width="11" customWidth="1"/>
    <col min="7" max="7" width="14.85546875" customWidth="1"/>
    <col min="8" max="8" width="11" bestFit="1" customWidth="1"/>
    <col min="9" max="9" width="11.140625" bestFit="1" customWidth="1"/>
    <col min="10" max="10" width="11.7109375" bestFit="1" customWidth="1"/>
    <col min="11" max="11" width="10" bestFit="1" customWidth="1"/>
    <col min="12" max="12" width="8.85546875" bestFit="1" customWidth="1"/>
    <col min="13" max="13" width="11" bestFit="1" customWidth="1"/>
    <col min="14" max="14" width="11.85546875" bestFit="1" customWidth="1"/>
  </cols>
  <sheetData>
    <row r="1" spans="1:14" ht="42" customHeight="1" x14ac:dyDescent="0.25">
      <c r="A1" s="14" t="s">
        <v>212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" customHeight="1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21.75" customHeight="1" x14ac:dyDescent="0.25">
      <c r="A3" s="15"/>
      <c r="B3" s="12" t="s">
        <v>1</v>
      </c>
      <c r="C3" s="12"/>
      <c r="D3" s="12" t="s">
        <v>2</v>
      </c>
      <c r="E3" s="12"/>
      <c r="F3" s="12" t="s">
        <v>3</v>
      </c>
      <c r="G3" s="12"/>
      <c r="H3" s="12" t="s">
        <v>4</v>
      </c>
      <c r="I3" s="12"/>
      <c r="J3" s="12" t="s">
        <v>5</v>
      </c>
      <c r="K3" s="12"/>
      <c r="L3" s="12" t="s">
        <v>6</v>
      </c>
      <c r="M3" s="12"/>
      <c r="N3" s="12"/>
    </row>
    <row r="4" spans="1:14" ht="21.75" customHeight="1" x14ac:dyDescent="0.25">
      <c r="A4" s="15"/>
      <c r="B4" s="11">
        <f>SUMPRODUCT((H8:H27)*1,(G8:G27)*1)</f>
        <v>176942.13</v>
      </c>
      <c r="C4" s="11"/>
      <c r="D4" s="11">
        <f>SUMPRODUCT((H8:H27)*1,(G8:G27)*1)-SUMPRODUCT((E8:E27)*1,(F8:F27)*1)</f>
        <v>129151.53</v>
      </c>
      <c r="E4" s="11"/>
      <c r="F4" s="10">
        <f>IFERROR(D4/SUMPRODUCT((E8:E27)*1,(F8:F27)*1),0)</f>
        <v>2.7024462969705341</v>
      </c>
      <c r="G4" s="10"/>
      <c r="H4" s="11">
        <f>SUM(L8:L27)</f>
        <v>596.79999999999995</v>
      </c>
      <c r="I4" s="11"/>
      <c r="J4" s="9">
        <f>COUNTA(B8:B27)</f>
        <v>16</v>
      </c>
      <c r="K4" s="9"/>
      <c r="L4" s="10">
        <f>IFERROR(SUM(L8:L27)/[1]einstellungen!B4,0)</f>
        <v>0</v>
      </c>
      <c r="M4" s="10"/>
      <c r="N4" s="10"/>
    </row>
    <row r="5" spans="1:14" ht="21.75" customHeight="1" x14ac:dyDescent="0.25">
      <c r="A5" s="15"/>
      <c r="B5" s="11"/>
      <c r="C5" s="11"/>
      <c r="D5" s="11"/>
      <c r="E5" s="11"/>
      <c r="F5" s="10"/>
      <c r="G5" s="10"/>
      <c r="H5" s="11"/>
      <c r="I5" s="11"/>
      <c r="J5" s="9"/>
      <c r="K5" s="9"/>
      <c r="L5" s="10"/>
      <c r="M5" s="10"/>
      <c r="N5" s="10"/>
    </row>
    <row r="6" spans="1:14" ht="21.75" customHeight="1" x14ac:dyDescent="0.25">
      <c r="A6" s="15"/>
      <c r="B6" s="8" t="s">
        <v>7</v>
      </c>
      <c r="C6" s="8"/>
      <c r="D6" s="8" t="s">
        <v>8</v>
      </c>
      <c r="E6" s="8"/>
      <c r="F6" s="8" t="s">
        <v>9</v>
      </c>
      <c r="G6" s="8"/>
      <c r="H6" s="8" t="s">
        <v>10</v>
      </c>
      <c r="I6" s="8"/>
      <c r="J6" s="8" t="s">
        <v>11</v>
      </c>
      <c r="K6" s="8"/>
      <c r="L6" s="8" t="s">
        <v>12</v>
      </c>
      <c r="M6" s="8"/>
      <c r="N6" s="8"/>
    </row>
    <row r="7" spans="1:14" ht="27.75" customHeight="1" x14ac:dyDescent="0.25">
      <c r="A7" s="16" t="s">
        <v>13</v>
      </c>
      <c r="B7" s="16" t="s">
        <v>14</v>
      </c>
      <c r="C7" s="16" t="s">
        <v>15</v>
      </c>
      <c r="D7" s="16" t="s">
        <v>16</v>
      </c>
      <c r="E7" s="16" t="s">
        <v>17</v>
      </c>
      <c r="F7" s="16" t="s">
        <v>18</v>
      </c>
      <c r="G7" s="16" t="s">
        <v>19</v>
      </c>
      <c r="H7" s="16" t="s">
        <v>20</v>
      </c>
      <c r="I7" s="16" t="s">
        <v>21</v>
      </c>
      <c r="J7" s="16" t="s">
        <v>22</v>
      </c>
      <c r="K7" s="16" t="s">
        <v>23</v>
      </c>
      <c r="L7" s="16" t="s">
        <v>24</v>
      </c>
      <c r="M7" s="16" t="s">
        <v>25</v>
      </c>
      <c r="N7" s="16" t="s">
        <v>26</v>
      </c>
    </row>
    <row r="8" spans="1:14" ht="19.5" customHeight="1" x14ac:dyDescent="0.25">
      <c r="A8" s="17">
        <v>1</v>
      </c>
      <c r="B8" s="18" t="s">
        <v>27</v>
      </c>
      <c r="C8" s="19" t="s">
        <v>28</v>
      </c>
      <c r="D8" s="20" t="s">
        <v>29</v>
      </c>
      <c r="E8" s="21">
        <v>25</v>
      </c>
      <c r="F8" s="22">
        <v>142.5</v>
      </c>
      <c r="G8" s="22">
        <v>9.9</v>
      </c>
      <c r="H8" s="22">
        <v>188.4</v>
      </c>
      <c r="I8" s="23">
        <f t="shared" ref="I8:I17" si="0">E8*H8</f>
        <v>4710</v>
      </c>
      <c r="J8" s="23">
        <f t="shared" ref="J8:J17" si="1">(H8-F8)*E8-G8</f>
        <v>1137.6000000000001</v>
      </c>
      <c r="K8" s="24">
        <f t="shared" ref="K8:K17" si="2">IFERROR((H8-F8)/F8,0)</f>
        <v>0.32210526315789478</v>
      </c>
      <c r="L8" s="22">
        <v>18.75</v>
      </c>
      <c r="M8" s="25">
        <f t="shared" ref="M8:M17" si="3">IFERROR(L8/(E8*F8),0)</f>
        <v>5.263157894736842E-3</v>
      </c>
      <c r="N8" s="22">
        <v>150</v>
      </c>
    </row>
    <row r="9" spans="1:14" ht="19.5" customHeight="1" x14ac:dyDescent="0.25">
      <c r="A9" s="26">
        <v>2</v>
      </c>
      <c r="B9" s="27" t="s">
        <v>30</v>
      </c>
      <c r="C9" s="28" t="s">
        <v>31</v>
      </c>
      <c r="D9" s="29" t="s">
        <v>32</v>
      </c>
      <c r="E9" s="21">
        <v>15</v>
      </c>
      <c r="F9" s="22">
        <v>215.8</v>
      </c>
      <c r="G9" s="22">
        <v>12.9</v>
      </c>
      <c r="H9" s="22">
        <v>268.5</v>
      </c>
      <c r="I9" s="30">
        <f t="shared" si="0"/>
        <v>4027.5</v>
      </c>
      <c r="J9" s="30">
        <f t="shared" si="1"/>
        <v>777.5999999999998</v>
      </c>
      <c r="K9" s="31">
        <f t="shared" si="2"/>
        <v>0.24420759962928631</v>
      </c>
      <c r="L9" s="22">
        <v>56.25</v>
      </c>
      <c r="M9" s="32">
        <f t="shared" si="3"/>
        <v>1.7377201112140871E-2</v>
      </c>
      <c r="N9" s="22">
        <v>210</v>
      </c>
    </row>
    <row r="10" spans="1:14" ht="19.5" customHeight="1" x14ac:dyDescent="0.25">
      <c r="A10" s="17">
        <v>3</v>
      </c>
      <c r="B10" s="18" t="s">
        <v>33</v>
      </c>
      <c r="C10" s="19" t="s">
        <v>34</v>
      </c>
      <c r="D10" s="20" t="s">
        <v>35</v>
      </c>
      <c r="E10" s="21">
        <v>80</v>
      </c>
      <c r="F10" s="22">
        <v>18.399999999999999</v>
      </c>
      <c r="G10" s="22">
        <v>7.9</v>
      </c>
      <c r="H10" s="22">
        <v>24.8</v>
      </c>
      <c r="I10" s="23">
        <f t="shared" si="0"/>
        <v>1984</v>
      </c>
      <c r="J10" s="23">
        <f t="shared" si="1"/>
        <v>504.10000000000025</v>
      </c>
      <c r="K10" s="24">
        <f t="shared" si="2"/>
        <v>0.3478260869565219</v>
      </c>
      <c r="L10" s="22">
        <v>64</v>
      </c>
      <c r="M10" s="25">
        <f t="shared" si="3"/>
        <v>4.3478260869565216E-2</v>
      </c>
      <c r="N10" s="22">
        <v>17.5</v>
      </c>
    </row>
    <row r="11" spans="1:14" ht="19.5" customHeight="1" x14ac:dyDescent="0.25">
      <c r="A11" s="26">
        <v>4</v>
      </c>
      <c r="B11" s="27" t="s">
        <v>36</v>
      </c>
      <c r="C11" s="28" t="s">
        <v>37</v>
      </c>
      <c r="D11" s="29" t="s">
        <v>32</v>
      </c>
      <c r="E11" s="21">
        <v>10</v>
      </c>
      <c r="F11" s="22">
        <v>315</v>
      </c>
      <c r="G11" s="22">
        <v>12.9</v>
      </c>
      <c r="H11" s="22">
        <v>418.6</v>
      </c>
      <c r="I11" s="30">
        <f t="shared" si="0"/>
        <v>4186</v>
      </c>
      <c r="J11" s="30">
        <f t="shared" si="1"/>
        <v>1023.1000000000003</v>
      </c>
      <c r="K11" s="31">
        <f t="shared" si="2"/>
        <v>0.32888888888888895</v>
      </c>
      <c r="L11" s="22">
        <v>42</v>
      </c>
      <c r="M11" s="32">
        <f t="shared" si="3"/>
        <v>1.3333333333333334E-2</v>
      </c>
      <c r="N11" s="22">
        <v>310</v>
      </c>
    </row>
    <row r="12" spans="1:14" ht="19.5" customHeight="1" x14ac:dyDescent="0.25">
      <c r="A12" s="17">
        <v>5</v>
      </c>
      <c r="B12" s="18" t="s">
        <v>38</v>
      </c>
      <c r="C12" s="19" t="s">
        <v>39</v>
      </c>
      <c r="D12" s="20" t="s">
        <v>40</v>
      </c>
      <c r="E12" s="21">
        <v>20</v>
      </c>
      <c r="F12" s="22">
        <v>145.6</v>
      </c>
      <c r="G12" s="22">
        <v>12.9</v>
      </c>
      <c r="H12" s="22">
        <v>182.3</v>
      </c>
      <c r="I12" s="23">
        <f t="shared" si="0"/>
        <v>3646</v>
      </c>
      <c r="J12" s="23">
        <f t="shared" si="1"/>
        <v>721.10000000000036</v>
      </c>
      <c r="K12" s="24">
        <f t="shared" si="2"/>
        <v>0.25206043956043966</v>
      </c>
      <c r="L12" s="22">
        <v>30</v>
      </c>
      <c r="M12" s="25">
        <f t="shared" si="3"/>
        <v>1.0302197802197802E-2</v>
      </c>
      <c r="N12" s="22">
        <v>140</v>
      </c>
    </row>
    <row r="13" spans="1:14" ht="19.5" customHeight="1" x14ac:dyDescent="0.25">
      <c r="A13" s="26">
        <v>6</v>
      </c>
      <c r="B13" s="27" t="s">
        <v>41</v>
      </c>
      <c r="C13" s="28" t="s">
        <v>42</v>
      </c>
      <c r="D13" s="29" t="s">
        <v>43</v>
      </c>
      <c r="E13" s="21">
        <v>30</v>
      </c>
      <c r="F13" s="22">
        <v>98.5</v>
      </c>
      <c r="G13" s="22">
        <v>9.9</v>
      </c>
      <c r="H13" s="22">
        <v>82.1</v>
      </c>
      <c r="I13" s="30">
        <f t="shared" si="0"/>
        <v>2463</v>
      </c>
      <c r="J13" s="30">
        <f t="shared" si="1"/>
        <v>-501.90000000000015</v>
      </c>
      <c r="K13" s="31">
        <f t="shared" si="2"/>
        <v>-0.16649746192893405</v>
      </c>
      <c r="L13" s="22">
        <v>0</v>
      </c>
      <c r="M13" s="32">
        <f t="shared" si="3"/>
        <v>0</v>
      </c>
      <c r="N13" s="22">
        <v>75</v>
      </c>
    </row>
    <row r="14" spans="1:14" ht="19.5" customHeight="1" x14ac:dyDescent="0.25">
      <c r="A14" s="17">
        <v>7</v>
      </c>
      <c r="B14" s="18" t="s">
        <v>44</v>
      </c>
      <c r="C14" s="19" t="s">
        <v>45</v>
      </c>
      <c r="D14" s="20" t="s">
        <v>46</v>
      </c>
      <c r="E14" s="21">
        <v>40</v>
      </c>
      <c r="F14" s="22">
        <v>45.2</v>
      </c>
      <c r="G14" s="22">
        <v>9.9</v>
      </c>
      <c r="H14" s="22">
        <v>41.8</v>
      </c>
      <c r="I14" s="23">
        <f t="shared" si="0"/>
        <v>1672</v>
      </c>
      <c r="J14" s="23">
        <f t="shared" si="1"/>
        <v>-145.90000000000023</v>
      </c>
      <c r="K14" s="24">
        <f t="shared" si="2"/>
        <v>-7.5221238938053214E-2</v>
      </c>
      <c r="L14" s="22">
        <v>54.4</v>
      </c>
      <c r="M14" s="25">
        <f t="shared" si="3"/>
        <v>3.0088495575221239E-2</v>
      </c>
      <c r="N14" s="22">
        <v>38</v>
      </c>
    </row>
    <row r="15" spans="1:14" ht="19.5" customHeight="1" x14ac:dyDescent="0.25">
      <c r="A15" s="26">
        <v>8</v>
      </c>
      <c r="B15" s="27" t="s">
        <v>47</v>
      </c>
      <c r="C15" s="28" t="s">
        <v>48</v>
      </c>
      <c r="D15" s="29" t="s">
        <v>49</v>
      </c>
      <c r="E15" s="21">
        <v>50</v>
      </c>
      <c r="F15" s="22">
        <v>32.6</v>
      </c>
      <c r="G15" s="22">
        <v>9.9</v>
      </c>
      <c r="H15" s="22">
        <v>36.9</v>
      </c>
      <c r="I15" s="30">
        <f t="shared" si="0"/>
        <v>1845</v>
      </c>
      <c r="J15" s="30">
        <f t="shared" si="1"/>
        <v>205.09999999999985</v>
      </c>
      <c r="K15" s="31">
        <f t="shared" si="2"/>
        <v>0.13190184049079745</v>
      </c>
      <c r="L15" s="22">
        <v>15</v>
      </c>
      <c r="M15" s="32">
        <f t="shared" si="3"/>
        <v>9.202453987730062E-3</v>
      </c>
      <c r="N15" s="22">
        <v>28</v>
      </c>
    </row>
    <row r="16" spans="1:14" ht="19.5" customHeight="1" x14ac:dyDescent="0.25">
      <c r="A16" s="17">
        <v>9</v>
      </c>
      <c r="B16" s="18" t="s">
        <v>50</v>
      </c>
      <c r="C16" s="19" t="s">
        <v>51</v>
      </c>
      <c r="D16" s="20" t="s">
        <v>52</v>
      </c>
      <c r="E16" s="21">
        <v>35</v>
      </c>
      <c r="F16" s="22">
        <v>32.799999999999997</v>
      </c>
      <c r="G16" s="22">
        <v>9.9</v>
      </c>
      <c r="H16" s="22">
        <v>22.5</v>
      </c>
      <c r="I16" s="23">
        <f t="shared" si="0"/>
        <v>787.5</v>
      </c>
      <c r="J16" s="23">
        <f t="shared" si="1"/>
        <v>-370.39999999999986</v>
      </c>
      <c r="K16" s="24">
        <f t="shared" si="2"/>
        <v>-0.31402439024390238</v>
      </c>
      <c r="L16" s="22">
        <v>0</v>
      </c>
      <c r="M16" s="25">
        <f t="shared" si="3"/>
        <v>0</v>
      </c>
      <c r="N16" s="22">
        <v>20</v>
      </c>
    </row>
    <row r="17" spans="1:14" ht="19.5" customHeight="1" x14ac:dyDescent="0.25">
      <c r="A17" s="26">
        <v>10</v>
      </c>
      <c r="B17" s="27" t="s">
        <v>53</v>
      </c>
      <c r="C17" s="28" t="s">
        <v>54</v>
      </c>
      <c r="D17" s="29" t="s">
        <v>55</v>
      </c>
      <c r="E17" s="21">
        <v>12</v>
      </c>
      <c r="F17" s="22">
        <v>168.4</v>
      </c>
      <c r="G17" s="22">
        <v>12.9</v>
      </c>
      <c r="H17" s="22">
        <v>195.8</v>
      </c>
      <c r="I17" s="30">
        <f t="shared" si="0"/>
        <v>2349.6000000000004</v>
      </c>
      <c r="J17" s="30">
        <f t="shared" si="1"/>
        <v>315.90000000000009</v>
      </c>
      <c r="K17" s="31">
        <f t="shared" si="2"/>
        <v>0.16270783847980999</v>
      </c>
      <c r="L17" s="22">
        <v>18</v>
      </c>
      <c r="M17" s="32">
        <f t="shared" si="3"/>
        <v>8.9073634204275519E-3</v>
      </c>
      <c r="N17" s="22">
        <v>160</v>
      </c>
    </row>
    <row r="18" spans="1:14" ht="19.5" customHeight="1" x14ac:dyDescent="0.25">
      <c r="A18" s="33"/>
      <c r="B18" s="34" t="s">
        <v>56</v>
      </c>
      <c r="C18" s="33"/>
      <c r="D18" s="33"/>
      <c r="E18" s="35">
        <f>SUM(E8:E17)</f>
        <v>317</v>
      </c>
      <c r="F18" s="36">
        <f>IFERROR(SUMPRODUCT(E8:E17,F8:F17)/SUM(E8:E17),0)</f>
        <v>75.379495268138797</v>
      </c>
      <c r="G18" s="36">
        <f>SUM(G8:G17)</f>
        <v>109.00000000000003</v>
      </c>
      <c r="H18" s="36">
        <f>SUM(H8:H17)</f>
        <v>1461.6999999999998</v>
      </c>
      <c r="I18" s="36">
        <f>SUM(I8:I17)</f>
        <v>27670.6</v>
      </c>
      <c r="J18" s="36">
        <f>SUM(J8:J17)</f>
        <v>3666.3000000000006</v>
      </c>
      <c r="K18" s="37">
        <f>IFERROR(SUM(J8:J17)/SUMPRODUCT(E8:E17,F8:F17),0)</f>
        <v>0.15343184643005112</v>
      </c>
      <c r="L18" s="36">
        <f>SUM(L8:L17)</f>
        <v>298.39999999999998</v>
      </c>
      <c r="M18" s="38">
        <f>IFERROR(SUM(L8:L17)/SUMPRODUCT(E8:E17,F8:F17),0)</f>
        <v>1.2487811410612127E-2</v>
      </c>
      <c r="N18" s="33"/>
    </row>
    <row r="19" spans="1:14" ht="19.5" customHeight="1" x14ac:dyDescent="0.25"/>
    <row r="20" spans="1:14" ht="19.5" customHeight="1" x14ac:dyDescent="0.25">
      <c r="A20" s="7" t="s">
        <v>57</v>
      </c>
      <c r="B20" s="7"/>
      <c r="C20" s="7"/>
      <c r="D20" s="7"/>
      <c r="E20" s="7"/>
      <c r="F20" s="7"/>
      <c r="G20" s="7"/>
    </row>
    <row r="21" spans="1:14" ht="19.5" customHeight="1" x14ac:dyDescent="0.25">
      <c r="A21" s="39" t="s">
        <v>58</v>
      </c>
      <c r="B21" s="6" t="s">
        <v>59</v>
      </c>
      <c r="C21" s="6"/>
      <c r="D21" s="6"/>
      <c r="E21" s="6"/>
      <c r="F21" s="6"/>
      <c r="G21" s="6"/>
    </row>
    <row r="22" spans="1:14" ht="19.5" customHeight="1" x14ac:dyDescent="0.25">
      <c r="A22" s="39" t="s">
        <v>60</v>
      </c>
      <c r="B22" s="6" t="s">
        <v>61</v>
      </c>
      <c r="C22" s="6"/>
      <c r="D22" s="6"/>
      <c r="E22" s="6"/>
      <c r="F22" s="6"/>
      <c r="G22" s="6"/>
    </row>
    <row r="23" spans="1:14" ht="19.5" customHeight="1" x14ac:dyDescent="0.25">
      <c r="A23" s="39" t="s">
        <v>62</v>
      </c>
      <c r="B23" s="6" t="s">
        <v>63</v>
      </c>
      <c r="C23" s="6"/>
      <c r="D23" s="6"/>
      <c r="E23" s="6"/>
      <c r="F23" s="6"/>
      <c r="G23" s="6"/>
    </row>
    <row r="24" spans="1:14" ht="19.5" customHeight="1" x14ac:dyDescent="0.25">
      <c r="A24" s="39" t="s">
        <v>64</v>
      </c>
      <c r="B24" s="6" t="s">
        <v>65</v>
      </c>
      <c r="C24" s="6"/>
      <c r="D24" s="6"/>
      <c r="E24" s="6"/>
      <c r="F24" s="6"/>
      <c r="G24" s="6"/>
    </row>
    <row r="25" spans="1:14" ht="19.5" customHeight="1" x14ac:dyDescent="0.25">
      <c r="A25" s="39" t="s">
        <v>66</v>
      </c>
      <c r="B25" s="6" t="s">
        <v>67</v>
      </c>
      <c r="C25" s="6"/>
      <c r="D25" s="6"/>
      <c r="E25" s="6"/>
      <c r="F25" s="6"/>
      <c r="G25" s="6"/>
    </row>
    <row r="26" spans="1:14" ht="19.5" customHeight="1" x14ac:dyDescent="0.25"/>
    <row r="27" spans="1:14" ht="19.5" customHeight="1" x14ac:dyDescent="0.25"/>
    <row r="28" spans="1:14" ht="19.5" customHeight="1" x14ac:dyDescent="0.25"/>
    <row r="29" spans="1:14" ht="19.5" customHeight="1" x14ac:dyDescent="0.25"/>
  </sheetData>
  <mergeCells count="26">
    <mergeCell ref="B25:G25"/>
    <mergeCell ref="A20:G20"/>
    <mergeCell ref="B21:G21"/>
    <mergeCell ref="B22:G22"/>
    <mergeCell ref="B23:G23"/>
    <mergeCell ref="B24:G24"/>
    <mergeCell ref="L4:N5"/>
    <mergeCell ref="B6:C6"/>
    <mergeCell ref="D6:E6"/>
    <mergeCell ref="F6:G6"/>
    <mergeCell ref="H6:I6"/>
    <mergeCell ref="J6:K6"/>
    <mergeCell ref="L6:N6"/>
    <mergeCell ref="B4:C5"/>
    <mergeCell ref="D4:E5"/>
    <mergeCell ref="F4:G5"/>
    <mergeCell ref="H4:I5"/>
    <mergeCell ref="J4:K5"/>
    <mergeCell ref="A1:N1"/>
    <mergeCell ref="A2:N2"/>
    <mergeCell ref="B3:C3"/>
    <mergeCell ref="D3:E3"/>
    <mergeCell ref="F3:G3"/>
    <mergeCell ref="H3:I3"/>
    <mergeCell ref="J3:K3"/>
    <mergeCell ref="L3:N3"/>
  </mergeCells>
  <conditionalFormatting sqref="J8:K17">
    <cfRule type="cellIs" dxfId="5" priority="2" operator="greaterThan">
      <formula>0</formula>
    </cfRule>
    <cfRule type="cellIs" dxfId="4" priority="3" operator="lessThan">
      <formula>0</formula>
    </cfRule>
  </conditionalFormatting>
  <conditionalFormatting sqref="N8:N17">
    <cfRule type="expression" dxfId="3" priority="6">
      <formula>H8&lt;N8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showGridLines="0" zoomScaleNormal="100" workbookViewId="0">
      <pane ySplit="7" topLeftCell="A8" activePane="bottomLeft" state="frozen"/>
      <selection pane="bottomLeft" sqref="A1:XFD1048576"/>
    </sheetView>
  </sheetViews>
  <sheetFormatPr baseColWidth="10" defaultColWidth="8.7109375" defaultRowHeight="15" x14ac:dyDescent="0.25"/>
  <cols>
    <col min="1" max="1" width="3" bestFit="1" customWidth="1"/>
    <col min="2" max="2" width="9.85546875" bestFit="1" customWidth="1"/>
    <col min="3" max="3" width="24.7109375" bestFit="1" customWidth="1"/>
    <col min="4" max="4" width="8.85546875" bestFit="1" customWidth="1"/>
    <col min="5" max="5" width="5.7109375" bestFit="1" customWidth="1"/>
    <col min="6" max="6" width="8.140625" bestFit="1" customWidth="1"/>
    <col min="7" max="7" width="10.7109375" bestFit="1" customWidth="1"/>
    <col min="8" max="8" width="13.7109375" bestFit="1" customWidth="1"/>
    <col min="9" max="9" width="11.42578125" bestFit="1" customWidth="1"/>
    <col min="10" max="10" width="13.140625" bestFit="1" customWidth="1"/>
    <col min="11" max="11" width="15.85546875" bestFit="1" customWidth="1"/>
    <col min="12" max="12" width="14.28515625" bestFit="1" customWidth="1"/>
  </cols>
  <sheetData>
    <row r="1" spans="1:12" ht="37.5" customHeight="1" x14ac:dyDescent="0.25">
      <c r="A1" s="5" t="s">
        <v>68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5">
      <c r="A2" s="13" t="s">
        <v>69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9.350000000000001" customHeight="1" x14ac:dyDescent="0.25">
      <c r="A3" s="4" t="s">
        <v>70</v>
      </c>
      <c r="B3" s="4"/>
      <c r="C3" s="4"/>
      <c r="D3" s="4" t="s">
        <v>71</v>
      </c>
      <c r="E3" s="4"/>
      <c r="F3" s="4"/>
      <c r="G3" s="4" t="s">
        <v>72</v>
      </c>
      <c r="H3" s="4"/>
      <c r="I3" s="4"/>
      <c r="J3" s="4" t="s">
        <v>73</v>
      </c>
      <c r="K3" s="4"/>
      <c r="L3" s="4"/>
    </row>
    <row r="4" spans="1:12" x14ac:dyDescent="0.25">
      <c r="A4" s="3">
        <f>SUMPRODUCT((D8:D500="Verkauf")*(K8:K500))</f>
        <v>3370</v>
      </c>
      <c r="B4" s="3"/>
      <c r="C4" s="3"/>
      <c r="D4" s="3">
        <f>SUMPRODUCT((D8:D500="Verkauf")*(K8:K500)*(K8:K500&lt;0))</f>
        <v>0</v>
      </c>
      <c r="E4" s="3"/>
      <c r="F4" s="3"/>
      <c r="G4" s="3">
        <f>SUM(I8:I500)</f>
        <v>118.90000000000003</v>
      </c>
      <c r="H4" s="3"/>
      <c r="I4" s="3"/>
      <c r="J4" s="2">
        <f>COUNTA(B8:B500)</f>
        <v>13</v>
      </c>
      <c r="K4" s="2"/>
      <c r="L4" s="2"/>
    </row>
    <row r="5" spans="1:12" x14ac:dyDescent="0.25">
      <c r="A5" s="3"/>
      <c r="B5" s="3"/>
      <c r="C5" s="3"/>
      <c r="D5" s="3"/>
      <c r="E5" s="3"/>
      <c r="F5" s="3"/>
      <c r="G5" s="3"/>
      <c r="H5" s="3"/>
      <c r="I5" s="3"/>
      <c r="J5" s="2"/>
      <c r="K5" s="2"/>
      <c r="L5" s="2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5.5" customHeight="1" x14ac:dyDescent="0.25">
      <c r="A7" s="16" t="s">
        <v>13</v>
      </c>
      <c r="B7" s="16" t="s">
        <v>74</v>
      </c>
      <c r="C7" s="16" t="s">
        <v>75</v>
      </c>
      <c r="D7" s="16" t="s">
        <v>76</v>
      </c>
      <c r="E7" s="16" t="s">
        <v>17</v>
      </c>
      <c r="F7" s="16" t="s">
        <v>77</v>
      </c>
      <c r="G7" s="16" t="s">
        <v>78</v>
      </c>
      <c r="H7" s="16" t="s">
        <v>79</v>
      </c>
      <c r="I7" s="16" t="s">
        <v>80</v>
      </c>
      <c r="J7" s="16" t="s">
        <v>81</v>
      </c>
      <c r="K7" s="16" t="s">
        <v>82</v>
      </c>
      <c r="L7" s="16" t="s">
        <v>83</v>
      </c>
    </row>
    <row r="8" spans="1:12" x14ac:dyDescent="0.25">
      <c r="A8" s="17">
        <v>1</v>
      </c>
      <c r="B8" s="40" t="s">
        <v>84</v>
      </c>
      <c r="C8" s="18" t="s">
        <v>27</v>
      </c>
      <c r="D8" s="41" t="s">
        <v>85</v>
      </c>
      <c r="E8" s="21">
        <v>25</v>
      </c>
      <c r="F8" s="22">
        <v>142.5</v>
      </c>
      <c r="G8" s="42">
        <f t="shared" ref="G8:G20" si="0">E8*F8</f>
        <v>3562.5</v>
      </c>
      <c r="H8" s="19" t="s">
        <v>28</v>
      </c>
      <c r="I8" s="22">
        <v>9.9</v>
      </c>
      <c r="J8" s="42">
        <f t="shared" ref="J8:J20" si="1">IF(D8="Kauf",G8+I8,IF(D8="Verkauf",G8-I8,G8))</f>
        <v>3572.4</v>
      </c>
      <c r="K8" s="43"/>
      <c r="L8" s="44"/>
    </row>
    <row r="9" spans="1:12" x14ac:dyDescent="0.25">
      <c r="A9" s="26">
        <v>2</v>
      </c>
      <c r="B9" s="40" t="s">
        <v>86</v>
      </c>
      <c r="C9" s="27" t="s">
        <v>30</v>
      </c>
      <c r="D9" s="41" t="s">
        <v>85</v>
      </c>
      <c r="E9" s="21">
        <v>15</v>
      </c>
      <c r="F9" s="22">
        <v>215.8</v>
      </c>
      <c r="G9" s="45">
        <f t="shared" si="0"/>
        <v>3237</v>
      </c>
      <c r="H9" s="28" t="s">
        <v>31</v>
      </c>
      <c r="I9" s="22">
        <v>12.9</v>
      </c>
      <c r="J9" s="45">
        <f t="shared" si="1"/>
        <v>3249.9</v>
      </c>
      <c r="K9" s="46"/>
      <c r="L9" s="47"/>
    </row>
    <row r="10" spans="1:12" x14ac:dyDescent="0.25">
      <c r="A10" s="17">
        <v>3</v>
      </c>
      <c r="B10" s="40" t="s">
        <v>87</v>
      </c>
      <c r="C10" s="18" t="s">
        <v>33</v>
      </c>
      <c r="D10" s="41" t="s">
        <v>85</v>
      </c>
      <c r="E10" s="21">
        <v>80</v>
      </c>
      <c r="F10" s="22">
        <v>18.399999999999999</v>
      </c>
      <c r="G10" s="42">
        <f t="shared" si="0"/>
        <v>1472</v>
      </c>
      <c r="H10" s="19" t="s">
        <v>34</v>
      </c>
      <c r="I10" s="22">
        <v>7.9</v>
      </c>
      <c r="J10" s="42">
        <f t="shared" si="1"/>
        <v>1479.9</v>
      </c>
      <c r="K10" s="43"/>
      <c r="L10" s="44"/>
    </row>
    <row r="11" spans="1:12" x14ac:dyDescent="0.25">
      <c r="A11" s="26">
        <v>4</v>
      </c>
      <c r="B11" s="40" t="s">
        <v>88</v>
      </c>
      <c r="C11" s="27" t="s">
        <v>36</v>
      </c>
      <c r="D11" s="41" t="s">
        <v>85</v>
      </c>
      <c r="E11" s="21">
        <v>10</v>
      </c>
      <c r="F11" s="22">
        <v>315</v>
      </c>
      <c r="G11" s="45">
        <f t="shared" si="0"/>
        <v>3150</v>
      </c>
      <c r="H11" s="28" t="s">
        <v>37</v>
      </c>
      <c r="I11" s="22">
        <v>12.9</v>
      </c>
      <c r="J11" s="45">
        <f t="shared" si="1"/>
        <v>3162.9</v>
      </c>
      <c r="K11" s="46"/>
      <c r="L11" s="47"/>
    </row>
    <row r="12" spans="1:12" x14ac:dyDescent="0.25">
      <c r="A12" s="17">
        <v>5</v>
      </c>
      <c r="B12" s="40" t="s">
        <v>89</v>
      </c>
      <c r="C12" s="18" t="s">
        <v>38</v>
      </c>
      <c r="D12" s="41" t="s">
        <v>85</v>
      </c>
      <c r="E12" s="21">
        <v>20</v>
      </c>
      <c r="F12" s="22">
        <v>145.6</v>
      </c>
      <c r="G12" s="42">
        <f t="shared" si="0"/>
        <v>2912</v>
      </c>
      <c r="H12" s="19" t="s">
        <v>39</v>
      </c>
      <c r="I12" s="22">
        <v>12.9</v>
      </c>
      <c r="J12" s="42">
        <f t="shared" si="1"/>
        <v>2924.9</v>
      </c>
      <c r="K12" s="43"/>
      <c r="L12" s="44"/>
    </row>
    <row r="13" spans="1:12" x14ac:dyDescent="0.25">
      <c r="A13" s="26">
        <v>6</v>
      </c>
      <c r="B13" s="40" t="s">
        <v>90</v>
      </c>
      <c r="C13" s="27" t="s">
        <v>41</v>
      </c>
      <c r="D13" s="41" t="s">
        <v>85</v>
      </c>
      <c r="E13" s="21">
        <v>30</v>
      </c>
      <c r="F13" s="22">
        <v>98.5</v>
      </c>
      <c r="G13" s="45">
        <f t="shared" si="0"/>
        <v>2955</v>
      </c>
      <c r="H13" s="28" t="s">
        <v>42</v>
      </c>
      <c r="I13" s="22">
        <v>9.9</v>
      </c>
      <c r="J13" s="45">
        <f t="shared" si="1"/>
        <v>2964.9</v>
      </c>
      <c r="K13" s="46"/>
      <c r="L13" s="47"/>
    </row>
    <row r="14" spans="1:12" x14ac:dyDescent="0.25">
      <c r="A14" s="17">
        <v>7</v>
      </c>
      <c r="B14" s="40" t="s">
        <v>91</v>
      </c>
      <c r="C14" s="18" t="s">
        <v>44</v>
      </c>
      <c r="D14" s="41" t="s">
        <v>85</v>
      </c>
      <c r="E14" s="21">
        <v>40</v>
      </c>
      <c r="F14" s="22">
        <v>45.2</v>
      </c>
      <c r="G14" s="42">
        <f t="shared" si="0"/>
        <v>1808</v>
      </c>
      <c r="H14" s="19" t="s">
        <v>45</v>
      </c>
      <c r="I14" s="22">
        <v>9.9</v>
      </c>
      <c r="J14" s="42">
        <f t="shared" si="1"/>
        <v>1817.9</v>
      </c>
      <c r="K14" s="43"/>
      <c r="L14" s="44"/>
    </row>
    <row r="15" spans="1:12" x14ac:dyDescent="0.25">
      <c r="A15" s="26">
        <v>8</v>
      </c>
      <c r="B15" s="40" t="s">
        <v>92</v>
      </c>
      <c r="C15" s="27" t="s">
        <v>47</v>
      </c>
      <c r="D15" s="41" t="s">
        <v>85</v>
      </c>
      <c r="E15" s="21">
        <v>50</v>
      </c>
      <c r="F15" s="22">
        <v>32.6</v>
      </c>
      <c r="G15" s="45">
        <f t="shared" si="0"/>
        <v>1630</v>
      </c>
      <c r="H15" s="28" t="s">
        <v>48</v>
      </c>
      <c r="I15" s="22">
        <v>9.9</v>
      </c>
      <c r="J15" s="45">
        <f t="shared" si="1"/>
        <v>1639.9</v>
      </c>
      <c r="K15" s="46"/>
      <c r="L15" s="47"/>
    </row>
    <row r="16" spans="1:12" x14ac:dyDescent="0.25">
      <c r="A16" s="17">
        <v>9</v>
      </c>
      <c r="B16" s="40" t="s">
        <v>93</v>
      </c>
      <c r="C16" s="18" t="s">
        <v>50</v>
      </c>
      <c r="D16" s="41" t="s">
        <v>85</v>
      </c>
      <c r="E16" s="21">
        <v>35</v>
      </c>
      <c r="F16" s="22">
        <v>32.799999999999997</v>
      </c>
      <c r="G16" s="42">
        <f t="shared" si="0"/>
        <v>1148</v>
      </c>
      <c r="H16" s="19" t="s">
        <v>51</v>
      </c>
      <c r="I16" s="22">
        <v>9.9</v>
      </c>
      <c r="J16" s="42">
        <f t="shared" si="1"/>
        <v>1157.9000000000001</v>
      </c>
      <c r="K16" s="43"/>
      <c r="L16" s="44"/>
    </row>
    <row r="17" spans="1:12" x14ac:dyDescent="0.25">
      <c r="A17" s="26">
        <v>10</v>
      </c>
      <c r="B17" s="40" t="s">
        <v>94</v>
      </c>
      <c r="C17" s="27" t="s">
        <v>53</v>
      </c>
      <c r="D17" s="41" t="s">
        <v>85</v>
      </c>
      <c r="E17" s="21">
        <v>12</v>
      </c>
      <c r="F17" s="22">
        <v>168.4</v>
      </c>
      <c r="G17" s="45">
        <f t="shared" si="0"/>
        <v>2020.8000000000002</v>
      </c>
      <c r="H17" s="28" t="s">
        <v>54</v>
      </c>
      <c r="I17" s="22">
        <v>12.9</v>
      </c>
      <c r="J17" s="45">
        <f t="shared" si="1"/>
        <v>2033.7000000000003</v>
      </c>
      <c r="K17" s="46"/>
      <c r="L17" s="47"/>
    </row>
    <row r="18" spans="1:12" x14ac:dyDescent="0.25">
      <c r="A18" s="17">
        <v>11</v>
      </c>
      <c r="B18" s="40" t="s">
        <v>95</v>
      </c>
      <c r="C18" s="18" t="s">
        <v>27</v>
      </c>
      <c r="D18" s="48" t="s">
        <v>96</v>
      </c>
      <c r="E18" s="21">
        <v>25</v>
      </c>
      <c r="F18" s="22">
        <v>0.75</v>
      </c>
      <c r="G18" s="42">
        <f t="shared" si="0"/>
        <v>18.75</v>
      </c>
      <c r="H18" s="19" t="s">
        <v>28</v>
      </c>
      <c r="I18" s="22">
        <v>0</v>
      </c>
      <c r="J18" s="42">
        <f t="shared" si="1"/>
        <v>18.75</v>
      </c>
      <c r="K18" s="43"/>
      <c r="L18" s="44" t="s">
        <v>97</v>
      </c>
    </row>
    <row r="19" spans="1:12" x14ac:dyDescent="0.25">
      <c r="A19" s="26">
        <v>12</v>
      </c>
      <c r="B19" s="40" t="s">
        <v>98</v>
      </c>
      <c r="C19" s="27" t="s">
        <v>30</v>
      </c>
      <c r="D19" s="48" t="s">
        <v>96</v>
      </c>
      <c r="E19" s="21">
        <v>15</v>
      </c>
      <c r="F19" s="22">
        <v>3.75</v>
      </c>
      <c r="G19" s="45">
        <f t="shared" si="0"/>
        <v>56.25</v>
      </c>
      <c r="H19" s="28" t="s">
        <v>31</v>
      </c>
      <c r="I19" s="22">
        <v>0</v>
      </c>
      <c r="J19" s="45">
        <f t="shared" si="1"/>
        <v>56.25</v>
      </c>
      <c r="K19" s="46"/>
      <c r="L19" s="47" t="s">
        <v>97</v>
      </c>
    </row>
    <row r="20" spans="1:12" x14ac:dyDescent="0.25">
      <c r="A20" s="17">
        <v>13</v>
      </c>
      <c r="B20" s="40" t="s">
        <v>99</v>
      </c>
      <c r="C20" s="18" t="s">
        <v>41</v>
      </c>
      <c r="D20" s="49" t="s">
        <v>100</v>
      </c>
      <c r="E20" s="21">
        <v>10</v>
      </c>
      <c r="F20" s="22">
        <v>95.2</v>
      </c>
      <c r="G20" s="42">
        <f t="shared" si="0"/>
        <v>952</v>
      </c>
      <c r="H20" s="19" t="s">
        <v>42</v>
      </c>
      <c r="I20" s="22">
        <v>9.9</v>
      </c>
      <c r="J20" s="42">
        <f t="shared" si="1"/>
        <v>942.1</v>
      </c>
      <c r="K20" s="22">
        <v>3370</v>
      </c>
      <c r="L20" s="44" t="s">
        <v>101</v>
      </c>
    </row>
  </sheetData>
  <mergeCells count="11">
    <mergeCell ref="A4:C5"/>
    <mergeCell ref="D4:F5"/>
    <mergeCell ref="G4:I5"/>
    <mergeCell ref="J4:L5"/>
    <mergeCell ref="A6:L6"/>
    <mergeCell ref="A1:L1"/>
    <mergeCell ref="A2:L2"/>
    <mergeCell ref="A3:C3"/>
    <mergeCell ref="D3:F3"/>
    <mergeCell ref="G3:I3"/>
    <mergeCell ref="J3:L3"/>
  </mergeCells>
  <conditionalFormatting sqref="K8:K500">
    <cfRule type="cellIs" dxfId="2" priority="2" operator="greaterThan">
      <formula>0</formula>
    </cfRule>
    <cfRule type="cellIs" dxfId="1" priority="3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9"/>
  <sheetViews>
    <sheetView showGridLines="0" zoomScaleNormal="100" workbookViewId="0">
      <selection activeCell="K9" sqref="K9"/>
    </sheetView>
  </sheetViews>
  <sheetFormatPr baseColWidth="10" defaultColWidth="8.7109375" defaultRowHeight="15" x14ac:dyDescent="0.25"/>
  <cols>
    <col min="1" max="1" width="34" bestFit="1" customWidth="1"/>
    <col min="2" max="2" width="9.7109375" bestFit="1" customWidth="1"/>
    <col min="3" max="6" width="22" customWidth="1"/>
  </cols>
  <sheetData>
    <row r="1" spans="1:6" ht="37.5" customHeight="1" x14ac:dyDescent="0.25">
      <c r="A1" s="5" t="s">
        <v>102</v>
      </c>
      <c r="B1" s="5"/>
      <c r="C1" s="5"/>
      <c r="D1" s="5"/>
      <c r="E1" s="5"/>
      <c r="F1" s="5"/>
    </row>
    <row r="2" spans="1:6" ht="18" customHeight="1" x14ac:dyDescent="0.25">
      <c r="A2" s="13" t="s">
        <v>103</v>
      </c>
      <c r="B2" s="13"/>
      <c r="C2" s="13"/>
      <c r="D2" s="13"/>
      <c r="E2" s="13"/>
      <c r="F2" s="13"/>
    </row>
    <row r="3" spans="1:6" ht="19.5" customHeight="1" x14ac:dyDescent="0.25"/>
    <row r="4" spans="1:6" ht="19.5" customHeight="1" x14ac:dyDescent="0.25">
      <c r="A4" s="72" t="s">
        <v>104</v>
      </c>
      <c r="B4" s="72"/>
      <c r="C4" s="72"/>
      <c r="D4" s="72"/>
      <c r="E4" s="72"/>
      <c r="F4" s="72"/>
    </row>
    <row r="5" spans="1:6" ht="19.5" customHeight="1" x14ac:dyDescent="0.25">
      <c r="A5" s="50" t="s">
        <v>105</v>
      </c>
      <c r="B5" s="51">
        <v>1000</v>
      </c>
      <c r="C5" s="73" t="s">
        <v>106</v>
      </c>
      <c r="D5" s="73"/>
      <c r="E5" s="73"/>
      <c r="F5" s="73"/>
    </row>
    <row r="6" spans="1:6" ht="19.5" customHeight="1" x14ac:dyDescent="0.25">
      <c r="A6" s="52" t="s">
        <v>107</v>
      </c>
      <c r="B6" s="53">
        <v>1000</v>
      </c>
      <c r="C6" s="73" t="s">
        <v>108</v>
      </c>
      <c r="D6" s="73"/>
      <c r="E6" s="73"/>
      <c r="F6" s="73"/>
    </row>
    <row r="7" spans="1:6" ht="19.5" customHeight="1" x14ac:dyDescent="0.25">
      <c r="A7" s="50" t="s">
        <v>109</v>
      </c>
      <c r="B7" s="51"/>
      <c r="C7" s="73" t="s">
        <v>110</v>
      </c>
      <c r="D7" s="73"/>
      <c r="E7" s="73"/>
      <c r="F7" s="73"/>
    </row>
    <row r="8" spans="1:6" ht="19.5" customHeight="1" x14ac:dyDescent="0.25">
      <c r="A8" s="50" t="s">
        <v>111</v>
      </c>
      <c r="B8" s="51"/>
      <c r="C8" s="73" t="s">
        <v>112</v>
      </c>
      <c r="D8" s="73"/>
      <c r="E8" s="73"/>
      <c r="F8" s="73"/>
    </row>
    <row r="9" spans="1:6" ht="19.5" customHeight="1" x14ac:dyDescent="0.25">
      <c r="A9" s="50" t="s">
        <v>113</v>
      </c>
      <c r="B9" s="51"/>
      <c r="C9" s="73" t="s">
        <v>114</v>
      </c>
      <c r="D9" s="73"/>
      <c r="E9" s="73"/>
      <c r="F9" s="73"/>
    </row>
    <row r="10" spans="1:6" ht="19.5" customHeight="1" x14ac:dyDescent="0.25">
      <c r="A10" s="52" t="s">
        <v>115</v>
      </c>
      <c r="B10" s="53">
        <f>B5+B6+B7-B8</f>
        <v>2000</v>
      </c>
      <c r="C10" s="73" t="s">
        <v>116</v>
      </c>
      <c r="D10" s="73"/>
      <c r="E10" s="73"/>
      <c r="F10" s="73"/>
    </row>
    <row r="11" spans="1:6" ht="19.5" customHeight="1" x14ac:dyDescent="0.25">
      <c r="A11" s="52" t="s">
        <v>117</v>
      </c>
      <c r="B11" s="53">
        <f>MIN(B9,B6)</f>
        <v>1000</v>
      </c>
      <c r="C11" s="73" t="s">
        <v>118</v>
      </c>
      <c r="D11" s="73"/>
      <c r="E11" s="73"/>
      <c r="F11" s="73"/>
    </row>
    <row r="12" spans="1:6" ht="19.5" customHeight="1" x14ac:dyDescent="0.25">
      <c r="A12" s="52" t="s">
        <v>119</v>
      </c>
      <c r="B12" s="53">
        <f>MAX(0,B9-B10)</f>
        <v>0</v>
      </c>
      <c r="C12" s="73" t="s">
        <v>120</v>
      </c>
      <c r="D12" s="73"/>
      <c r="E12" s="73"/>
      <c r="F12" s="73"/>
    </row>
    <row r="13" spans="1:6" ht="19.5" customHeight="1" x14ac:dyDescent="0.25">
      <c r="A13" s="52" t="s">
        <v>121</v>
      </c>
      <c r="B13" s="53">
        <f>B11*0.25</f>
        <v>250</v>
      </c>
      <c r="C13" s="73" t="s">
        <v>122</v>
      </c>
      <c r="D13" s="73"/>
      <c r="E13" s="73"/>
      <c r="F13" s="73"/>
    </row>
    <row r="14" spans="1:6" ht="19.5" customHeight="1" x14ac:dyDescent="0.25">
      <c r="A14" s="52" t="s">
        <v>123</v>
      </c>
      <c r="B14" s="53">
        <f>B12*0.055</f>
        <v>0</v>
      </c>
      <c r="C14" s="73" t="s">
        <v>124</v>
      </c>
      <c r="D14" s="73"/>
      <c r="E14" s="73"/>
      <c r="F14" s="73"/>
    </row>
    <row r="15" spans="1:6" ht="19.5" customHeight="1" x14ac:dyDescent="0.25">
      <c r="A15" s="50" t="s">
        <v>125</v>
      </c>
      <c r="B15" s="51">
        <f>B12*0.08</f>
        <v>0</v>
      </c>
      <c r="C15" s="73" t="s">
        <v>126</v>
      </c>
      <c r="D15" s="73"/>
      <c r="E15" s="73"/>
      <c r="F15" s="73"/>
    </row>
    <row r="16" spans="1:6" ht="19.5" customHeight="1" x14ac:dyDescent="0.25">
      <c r="A16" s="54" t="s">
        <v>127</v>
      </c>
      <c r="B16" s="55">
        <f>SUM(B12:B14)</f>
        <v>250</v>
      </c>
      <c r="C16" s="73" t="s">
        <v>128</v>
      </c>
      <c r="D16" s="73"/>
      <c r="E16" s="73"/>
      <c r="F16" s="73"/>
    </row>
    <row r="17" spans="1:6" ht="19.5" customHeight="1" x14ac:dyDescent="0.25"/>
    <row r="18" spans="1:6" ht="19.5" customHeight="1" x14ac:dyDescent="0.25"/>
    <row r="19" spans="1:6" ht="19.5" customHeight="1" x14ac:dyDescent="0.25">
      <c r="A19" s="72" t="s">
        <v>129</v>
      </c>
      <c r="B19" s="72"/>
      <c r="C19" s="72"/>
      <c r="D19" s="72"/>
      <c r="E19" s="72"/>
      <c r="F19" s="72"/>
    </row>
    <row r="20" spans="1:6" ht="19.5" customHeight="1" x14ac:dyDescent="0.25">
      <c r="A20" s="56" t="s">
        <v>130</v>
      </c>
      <c r="B20" s="51">
        <v>0</v>
      </c>
      <c r="C20" s="74" t="s">
        <v>131</v>
      </c>
      <c r="D20" s="74"/>
      <c r="E20" s="74"/>
      <c r="F20" s="74"/>
    </row>
    <row r="21" spans="1:6" ht="19.5" customHeight="1" x14ac:dyDescent="0.25">
      <c r="A21" s="56" t="s">
        <v>132</v>
      </c>
      <c r="B21" s="51">
        <v>0</v>
      </c>
      <c r="C21" s="74" t="s">
        <v>133</v>
      </c>
      <c r="D21" s="74"/>
      <c r="E21" s="74"/>
      <c r="F21" s="74"/>
    </row>
    <row r="22" spans="1:6" ht="19.5" customHeight="1" x14ac:dyDescent="0.25">
      <c r="A22" s="56" t="s">
        <v>134</v>
      </c>
      <c r="B22" s="51">
        <v>0</v>
      </c>
      <c r="C22" s="74" t="s">
        <v>135</v>
      </c>
      <c r="D22" s="74"/>
      <c r="E22" s="74"/>
      <c r="F22" s="74"/>
    </row>
    <row r="23" spans="1:6" ht="19.5" customHeight="1" x14ac:dyDescent="0.25">
      <c r="A23" s="57" t="s">
        <v>136</v>
      </c>
      <c r="B23" s="53">
        <f>B20+B21-B22</f>
        <v>0</v>
      </c>
      <c r="C23" s="74" t="s">
        <v>137</v>
      </c>
      <c r="D23" s="74"/>
      <c r="E23" s="74"/>
      <c r="F23" s="74"/>
    </row>
    <row r="24" spans="1:6" ht="19.5" customHeight="1" x14ac:dyDescent="0.25"/>
    <row r="25" spans="1:6" ht="19.5" customHeight="1" x14ac:dyDescent="0.25"/>
    <row r="26" spans="1:6" ht="19.5" customHeight="1" x14ac:dyDescent="0.25">
      <c r="A26" s="72" t="s">
        <v>138</v>
      </c>
      <c r="B26" s="72"/>
      <c r="C26" s="72"/>
      <c r="D26" s="72"/>
      <c r="E26" s="72"/>
      <c r="F26" s="72"/>
    </row>
    <row r="27" spans="1:6" ht="18" customHeight="1" x14ac:dyDescent="0.25">
      <c r="A27" s="75" t="s">
        <v>139</v>
      </c>
      <c r="B27" s="75"/>
      <c r="C27" s="75"/>
      <c r="D27" s="75"/>
      <c r="E27" s="75"/>
      <c r="F27" s="75"/>
    </row>
    <row r="28" spans="1:6" ht="18" customHeight="1" x14ac:dyDescent="0.25">
      <c r="A28" s="75" t="s">
        <v>140</v>
      </c>
      <c r="B28" s="75"/>
      <c r="C28" s="75"/>
      <c r="D28" s="75"/>
      <c r="E28" s="75"/>
      <c r="F28" s="75"/>
    </row>
    <row r="29" spans="1:6" ht="18" customHeight="1" x14ac:dyDescent="0.25">
      <c r="A29" s="75" t="s">
        <v>141</v>
      </c>
      <c r="B29" s="75"/>
      <c r="C29" s="75"/>
      <c r="D29" s="75"/>
      <c r="E29" s="75"/>
      <c r="F29" s="75"/>
    </row>
    <row r="30" spans="1:6" ht="18" customHeight="1" x14ac:dyDescent="0.25">
      <c r="A30" s="75" t="s">
        <v>142</v>
      </c>
      <c r="B30" s="75"/>
      <c r="C30" s="75"/>
      <c r="D30" s="75"/>
      <c r="E30" s="75"/>
      <c r="F30" s="75"/>
    </row>
    <row r="31" spans="1:6" ht="18" customHeight="1" x14ac:dyDescent="0.25">
      <c r="A31" s="75" t="s">
        <v>143</v>
      </c>
      <c r="B31" s="75"/>
      <c r="C31" s="75"/>
      <c r="D31" s="75"/>
      <c r="E31" s="75"/>
      <c r="F31" s="75"/>
    </row>
    <row r="32" spans="1:6" ht="18" customHeight="1" x14ac:dyDescent="0.25">
      <c r="A32" s="75" t="s">
        <v>144</v>
      </c>
      <c r="B32" s="75"/>
      <c r="C32" s="75"/>
      <c r="D32" s="75"/>
      <c r="E32" s="75"/>
      <c r="F32" s="75"/>
    </row>
    <row r="33" spans="1:6" ht="18" customHeight="1" x14ac:dyDescent="0.25">
      <c r="A33" s="76" t="s">
        <v>145</v>
      </c>
      <c r="B33" s="76"/>
      <c r="C33" s="76"/>
      <c r="D33" s="76"/>
      <c r="E33" s="76"/>
      <c r="F33" s="76"/>
    </row>
    <row r="34" spans="1:6" ht="19.5" customHeight="1" x14ac:dyDescent="0.25"/>
    <row r="35" spans="1:6" ht="19.5" customHeight="1" x14ac:dyDescent="0.25"/>
    <row r="36" spans="1:6" ht="19.5" customHeight="1" x14ac:dyDescent="0.25"/>
    <row r="37" spans="1:6" ht="19.5" customHeight="1" x14ac:dyDescent="0.25"/>
    <row r="38" spans="1:6" ht="19.5" customHeight="1" x14ac:dyDescent="0.25"/>
    <row r="39" spans="1:6" ht="19.5" customHeight="1" x14ac:dyDescent="0.25"/>
  </sheetData>
  <mergeCells count="28">
    <mergeCell ref="A31:F31"/>
    <mergeCell ref="A32:F32"/>
    <mergeCell ref="A33:F33"/>
    <mergeCell ref="A26:F26"/>
    <mergeCell ref="A27:F27"/>
    <mergeCell ref="A28:F28"/>
    <mergeCell ref="A29:F29"/>
    <mergeCell ref="A30:F30"/>
    <mergeCell ref="A19:F19"/>
    <mergeCell ref="C20:F20"/>
    <mergeCell ref="C21:F21"/>
    <mergeCell ref="C22:F22"/>
    <mergeCell ref="C23:F23"/>
    <mergeCell ref="C12:F12"/>
    <mergeCell ref="C13:F13"/>
    <mergeCell ref="C14:F14"/>
    <mergeCell ref="C15:F15"/>
    <mergeCell ref="C16:F16"/>
    <mergeCell ref="C7:F7"/>
    <mergeCell ref="C8:F8"/>
    <mergeCell ref="C9:F9"/>
    <mergeCell ref="C10:F10"/>
    <mergeCell ref="C11:F11"/>
    <mergeCell ref="A1:F1"/>
    <mergeCell ref="A2:F2"/>
    <mergeCell ref="A4:F4"/>
    <mergeCell ref="C5:F5"/>
    <mergeCell ref="C6:F6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5"/>
  <sheetViews>
    <sheetView showGridLines="0" zoomScaleNormal="100" workbookViewId="0">
      <selection activeCell="T18" sqref="T18"/>
    </sheetView>
  </sheetViews>
  <sheetFormatPr baseColWidth="10" defaultColWidth="8.7109375" defaultRowHeight="15" x14ac:dyDescent="0.25"/>
  <cols>
    <col min="1" max="1" width="24.7109375" bestFit="1" customWidth="1"/>
    <col min="2" max="2" width="9.5703125" bestFit="1" customWidth="1"/>
    <col min="3" max="5" width="6.140625" bestFit="1" customWidth="1"/>
    <col min="6" max="7" width="7.140625" bestFit="1" customWidth="1"/>
    <col min="8" max="8" width="8.140625" bestFit="1" customWidth="1"/>
    <col min="9" max="12" width="6.140625" bestFit="1" customWidth="1"/>
    <col min="13" max="13" width="7.140625" bestFit="1" customWidth="1"/>
    <col min="14" max="14" width="6.140625" bestFit="1" customWidth="1"/>
    <col min="15" max="15" width="15.42578125" bestFit="1" customWidth="1"/>
  </cols>
  <sheetData>
    <row r="1" spans="1:15" ht="37.5" customHeight="1" x14ac:dyDescent="0.25">
      <c r="A1" s="5" t="s">
        <v>146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5" ht="18" customHeight="1" x14ac:dyDescent="0.25">
      <c r="A2" s="13" t="s">
        <v>147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5" ht="21.75" customHeight="1" x14ac:dyDescent="0.25"/>
    <row r="4" spans="1:15" ht="30" customHeight="1" x14ac:dyDescent="0.25">
      <c r="A4" s="58" t="s">
        <v>75</v>
      </c>
      <c r="B4" s="58" t="s">
        <v>148</v>
      </c>
      <c r="C4" s="58" t="s">
        <v>149</v>
      </c>
      <c r="D4" s="58" t="s">
        <v>150</v>
      </c>
      <c r="E4" s="58" t="s">
        <v>151</v>
      </c>
      <c r="F4" s="58" t="s">
        <v>152</v>
      </c>
      <c r="G4" s="58" t="s">
        <v>153</v>
      </c>
      <c r="H4" s="58" t="s">
        <v>154</v>
      </c>
      <c r="I4" s="58" t="s">
        <v>155</v>
      </c>
      <c r="J4" s="58" t="s">
        <v>156</v>
      </c>
      <c r="K4" s="58" t="s">
        <v>157</v>
      </c>
      <c r="L4" s="58" t="s">
        <v>158</v>
      </c>
      <c r="M4" s="58" t="s">
        <v>159</v>
      </c>
      <c r="N4" s="58" t="s">
        <v>160</v>
      </c>
      <c r="O4" s="59" t="s">
        <v>161</v>
      </c>
    </row>
    <row r="5" spans="1:15" ht="21.75" customHeight="1" x14ac:dyDescent="0.25">
      <c r="A5" s="18" t="s">
        <v>27</v>
      </c>
      <c r="B5" s="60" t="s">
        <v>162</v>
      </c>
      <c r="C5" s="43"/>
      <c r="D5" s="43"/>
      <c r="E5" s="43"/>
      <c r="F5" s="22">
        <v>18.75</v>
      </c>
      <c r="G5" s="43"/>
      <c r="H5" s="43"/>
      <c r="I5" s="43"/>
      <c r="J5" s="43"/>
      <c r="K5" s="43"/>
      <c r="L5" s="43"/>
      <c r="M5" s="43"/>
      <c r="N5" s="43"/>
      <c r="O5" s="61">
        <f t="shared" ref="O5:O14" si="0">SUM(C5:N5)</f>
        <v>18.75</v>
      </c>
    </row>
    <row r="6" spans="1:15" ht="21.75" customHeight="1" x14ac:dyDescent="0.25">
      <c r="A6" s="27" t="s">
        <v>30</v>
      </c>
      <c r="B6" s="62" t="s">
        <v>162</v>
      </c>
      <c r="C6" s="46"/>
      <c r="D6" s="46"/>
      <c r="E6" s="46"/>
      <c r="F6" s="46"/>
      <c r="G6" s="22">
        <v>56.25</v>
      </c>
      <c r="H6" s="46"/>
      <c r="I6" s="46"/>
      <c r="J6" s="46"/>
      <c r="K6" s="46"/>
      <c r="L6" s="46"/>
      <c r="M6" s="46"/>
      <c r="N6" s="46"/>
      <c r="O6" s="61">
        <f t="shared" si="0"/>
        <v>56.25</v>
      </c>
    </row>
    <row r="7" spans="1:15" x14ac:dyDescent="0.25">
      <c r="A7" s="18" t="s">
        <v>33</v>
      </c>
      <c r="B7" s="60" t="s">
        <v>162</v>
      </c>
      <c r="C7" s="43"/>
      <c r="D7" s="43"/>
      <c r="E7" s="43"/>
      <c r="F7" s="43"/>
      <c r="G7" s="43"/>
      <c r="H7" s="22">
        <v>64</v>
      </c>
      <c r="I7" s="43"/>
      <c r="J7" s="43"/>
      <c r="K7" s="43"/>
      <c r="L7" s="43"/>
      <c r="M7" s="43"/>
      <c r="N7" s="43"/>
      <c r="O7" s="61">
        <f t="shared" si="0"/>
        <v>64</v>
      </c>
    </row>
    <row r="8" spans="1:15" x14ac:dyDescent="0.25">
      <c r="A8" s="27" t="s">
        <v>36</v>
      </c>
      <c r="B8" s="62" t="s">
        <v>162</v>
      </c>
      <c r="C8" s="46"/>
      <c r="D8" s="46"/>
      <c r="E8" s="46"/>
      <c r="F8" s="22">
        <v>42</v>
      </c>
      <c r="G8" s="46"/>
      <c r="H8" s="46"/>
      <c r="I8" s="46"/>
      <c r="J8" s="46"/>
      <c r="K8" s="46"/>
      <c r="L8" s="46"/>
      <c r="M8" s="46"/>
      <c r="N8" s="46"/>
      <c r="O8" s="61">
        <f t="shared" si="0"/>
        <v>42</v>
      </c>
    </row>
    <row r="9" spans="1:15" x14ac:dyDescent="0.25">
      <c r="A9" s="18" t="s">
        <v>38</v>
      </c>
      <c r="B9" s="60" t="s">
        <v>162</v>
      </c>
      <c r="C9" s="43"/>
      <c r="D9" s="43"/>
      <c r="E9" s="43"/>
      <c r="F9" s="43"/>
      <c r="G9" s="22">
        <v>30</v>
      </c>
      <c r="H9" s="43"/>
      <c r="I9" s="43"/>
      <c r="J9" s="43"/>
      <c r="K9" s="43"/>
      <c r="L9" s="43"/>
      <c r="M9" s="43"/>
      <c r="N9" s="43"/>
      <c r="O9" s="61">
        <f t="shared" si="0"/>
        <v>30</v>
      </c>
    </row>
    <row r="10" spans="1:15" x14ac:dyDescent="0.25">
      <c r="A10" s="27" t="s">
        <v>41</v>
      </c>
      <c r="B10" s="63" t="s">
        <v>163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61">
        <f t="shared" si="0"/>
        <v>0</v>
      </c>
    </row>
    <row r="11" spans="1:15" x14ac:dyDescent="0.25">
      <c r="A11" s="18" t="s">
        <v>44</v>
      </c>
      <c r="B11" s="60" t="s">
        <v>162</v>
      </c>
      <c r="C11" s="43"/>
      <c r="D11" s="43"/>
      <c r="E11" s="43"/>
      <c r="F11" s="43"/>
      <c r="G11" s="43"/>
      <c r="H11" s="22">
        <v>54.4</v>
      </c>
      <c r="I11" s="43"/>
      <c r="J11" s="43"/>
      <c r="K11" s="43"/>
      <c r="L11" s="43"/>
      <c r="M11" s="43"/>
      <c r="N11" s="43"/>
      <c r="O11" s="61">
        <f t="shared" si="0"/>
        <v>54.4</v>
      </c>
    </row>
    <row r="12" spans="1:15" x14ac:dyDescent="0.25">
      <c r="A12" s="27" t="s">
        <v>47</v>
      </c>
      <c r="B12" s="62" t="s">
        <v>162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22">
        <v>15</v>
      </c>
      <c r="N12" s="46"/>
      <c r="O12" s="61">
        <f t="shared" si="0"/>
        <v>15</v>
      </c>
    </row>
    <row r="13" spans="1:15" x14ac:dyDescent="0.25">
      <c r="A13" s="18" t="s">
        <v>50</v>
      </c>
      <c r="B13" s="64" t="s">
        <v>163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61">
        <f t="shared" si="0"/>
        <v>0</v>
      </c>
    </row>
    <row r="14" spans="1:15" x14ac:dyDescent="0.25">
      <c r="A14" s="27" t="s">
        <v>53</v>
      </c>
      <c r="B14" s="62" t="s">
        <v>162</v>
      </c>
      <c r="C14" s="46"/>
      <c r="D14" s="46"/>
      <c r="E14" s="46"/>
      <c r="F14" s="22">
        <v>18</v>
      </c>
      <c r="G14" s="46"/>
      <c r="H14" s="46"/>
      <c r="I14" s="46"/>
      <c r="J14" s="46"/>
      <c r="K14" s="46"/>
      <c r="L14" s="46"/>
      <c r="M14" s="46"/>
      <c r="N14" s="46"/>
      <c r="O14" s="61">
        <f t="shared" si="0"/>
        <v>18</v>
      </c>
    </row>
    <row r="15" spans="1:15" x14ac:dyDescent="0.25">
      <c r="A15" s="65" t="s">
        <v>164</v>
      </c>
      <c r="B15" s="33"/>
      <c r="C15" s="36">
        <f t="shared" ref="C15:O15" si="1">SUM(C5:C14)</f>
        <v>0</v>
      </c>
      <c r="D15" s="36">
        <f t="shared" si="1"/>
        <v>0</v>
      </c>
      <c r="E15" s="36">
        <f t="shared" si="1"/>
        <v>0</v>
      </c>
      <c r="F15" s="36">
        <f t="shared" si="1"/>
        <v>78.75</v>
      </c>
      <c r="G15" s="36">
        <f t="shared" si="1"/>
        <v>86.25</v>
      </c>
      <c r="H15" s="36">
        <f t="shared" si="1"/>
        <v>118.4</v>
      </c>
      <c r="I15" s="36">
        <f t="shared" si="1"/>
        <v>0</v>
      </c>
      <c r="J15" s="36">
        <f t="shared" si="1"/>
        <v>0</v>
      </c>
      <c r="K15" s="36">
        <f t="shared" si="1"/>
        <v>0</v>
      </c>
      <c r="L15" s="36">
        <f t="shared" si="1"/>
        <v>0</v>
      </c>
      <c r="M15" s="36">
        <f t="shared" si="1"/>
        <v>15</v>
      </c>
      <c r="N15" s="36">
        <f t="shared" si="1"/>
        <v>0</v>
      </c>
      <c r="O15" s="36">
        <f t="shared" si="1"/>
        <v>298.39999999999998</v>
      </c>
    </row>
  </sheetData>
  <mergeCells count="2">
    <mergeCell ref="A1:N1"/>
    <mergeCell ref="A2:N2"/>
  </mergeCells>
  <conditionalFormatting sqref="C5:N14">
    <cfRule type="cellIs" dxfId="0" priority="2" operator="greater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7"/>
  <sheetViews>
    <sheetView showGridLines="0" zoomScaleNormal="100" workbookViewId="0">
      <selection sqref="A1:XFD1048576"/>
    </sheetView>
  </sheetViews>
  <sheetFormatPr baseColWidth="10" defaultColWidth="8.7109375" defaultRowHeight="15" x14ac:dyDescent="0.25"/>
  <cols>
    <col min="1" max="1" width="25.85546875" bestFit="1" customWidth="1"/>
    <col min="2" max="2" width="24.140625" bestFit="1" customWidth="1"/>
    <col min="3" max="3" width="48.7109375" bestFit="1" customWidth="1"/>
  </cols>
  <sheetData>
    <row r="1" spans="1:3" ht="37.5" customHeight="1" x14ac:dyDescent="0.25">
      <c r="A1" s="5" t="s">
        <v>165</v>
      </c>
      <c r="B1" s="5"/>
      <c r="C1" s="5"/>
    </row>
    <row r="2" spans="1:3" ht="18" customHeight="1" x14ac:dyDescent="0.25">
      <c r="A2" s="13" t="s">
        <v>166</v>
      </c>
      <c r="B2" s="13"/>
      <c r="C2" s="13"/>
    </row>
    <row r="4" spans="1:3" x14ac:dyDescent="0.25">
      <c r="A4" s="72" t="s">
        <v>167</v>
      </c>
      <c r="B4" s="72"/>
      <c r="C4" s="72"/>
    </row>
    <row r="5" spans="1:3" ht="19.5" customHeight="1" x14ac:dyDescent="0.25">
      <c r="A5" s="66" t="s">
        <v>168</v>
      </c>
      <c r="B5" s="67" t="s">
        <v>169</v>
      </c>
      <c r="C5" s="68" t="s">
        <v>170</v>
      </c>
    </row>
    <row r="6" spans="1:3" ht="19.5" customHeight="1" x14ac:dyDescent="0.25">
      <c r="A6" s="66" t="s">
        <v>171</v>
      </c>
      <c r="B6" s="67" t="s">
        <v>172</v>
      </c>
      <c r="C6" s="68" t="s">
        <v>173</v>
      </c>
    </row>
    <row r="7" spans="1:3" ht="19.5" customHeight="1" x14ac:dyDescent="0.25">
      <c r="A7" s="66" t="s">
        <v>174</v>
      </c>
      <c r="B7" s="67" t="s">
        <v>175</v>
      </c>
      <c r="C7" s="68" t="s">
        <v>176</v>
      </c>
    </row>
    <row r="8" spans="1:3" ht="19.5" customHeight="1" x14ac:dyDescent="0.25">
      <c r="A8" s="66" t="s">
        <v>177</v>
      </c>
      <c r="B8" s="67" t="s">
        <v>178</v>
      </c>
      <c r="C8" s="68" t="s">
        <v>179</v>
      </c>
    </row>
    <row r="9" spans="1:3" ht="19.5" customHeight="1" x14ac:dyDescent="0.25">
      <c r="A9" s="66" t="s">
        <v>180</v>
      </c>
      <c r="B9" s="67" t="s">
        <v>181</v>
      </c>
      <c r="C9" s="68" t="s">
        <v>182</v>
      </c>
    </row>
    <row r="11" spans="1:3" x14ac:dyDescent="0.25">
      <c r="A11" s="72" t="s">
        <v>183</v>
      </c>
      <c r="B11" s="72"/>
      <c r="C11" s="72"/>
    </row>
    <row r="12" spans="1:3" ht="19.5" customHeight="1" x14ac:dyDescent="0.25">
      <c r="A12" s="66" t="s">
        <v>184</v>
      </c>
      <c r="B12" s="69">
        <v>1000</v>
      </c>
      <c r="C12" s="68" t="s">
        <v>185</v>
      </c>
    </row>
    <row r="13" spans="1:3" ht="19.5" customHeight="1" x14ac:dyDescent="0.25">
      <c r="A13" s="66" t="s">
        <v>186</v>
      </c>
      <c r="B13" s="67">
        <v>0</v>
      </c>
      <c r="C13" s="68" t="s">
        <v>187</v>
      </c>
    </row>
    <row r="14" spans="1:3" ht="19.5" customHeight="1" x14ac:dyDescent="0.25">
      <c r="A14" s="66" t="s">
        <v>188</v>
      </c>
      <c r="B14" s="67" t="s">
        <v>189</v>
      </c>
      <c r="C14" s="68" t="s">
        <v>190</v>
      </c>
    </row>
    <row r="15" spans="1:3" ht="19.5" customHeight="1" x14ac:dyDescent="0.25">
      <c r="A15" s="66" t="s">
        <v>191</v>
      </c>
      <c r="B15" s="67">
        <v>0</v>
      </c>
      <c r="C15" s="68" t="s">
        <v>192</v>
      </c>
    </row>
    <row r="16" spans="1:3" ht="19.5" customHeight="1" x14ac:dyDescent="0.25">
      <c r="A16" s="66" t="s">
        <v>193</v>
      </c>
      <c r="B16" s="67" t="s">
        <v>189</v>
      </c>
      <c r="C16" s="68" t="s">
        <v>194</v>
      </c>
    </row>
    <row r="18" spans="1:3" x14ac:dyDescent="0.25">
      <c r="A18" s="72" t="s">
        <v>195</v>
      </c>
      <c r="B18" s="72"/>
      <c r="C18" s="72"/>
    </row>
    <row r="19" spans="1:3" ht="19.5" customHeight="1" x14ac:dyDescent="0.25">
      <c r="A19" s="66" t="s">
        <v>196</v>
      </c>
      <c r="B19" s="70">
        <v>9.9</v>
      </c>
      <c r="C19" s="68" t="s">
        <v>197</v>
      </c>
    </row>
    <row r="20" spans="1:3" ht="19.5" customHeight="1" x14ac:dyDescent="0.25">
      <c r="A20" s="66" t="s">
        <v>198</v>
      </c>
      <c r="B20" s="70">
        <v>9.9</v>
      </c>
      <c r="C20" s="68" t="s">
        <v>199</v>
      </c>
    </row>
    <row r="21" spans="1:3" ht="19.5" customHeight="1" x14ac:dyDescent="0.25">
      <c r="A21" s="66" t="s">
        <v>200</v>
      </c>
      <c r="B21" s="70">
        <v>2</v>
      </c>
      <c r="C21" s="68" t="s">
        <v>201</v>
      </c>
    </row>
    <row r="22" spans="1:3" ht="19.5" customHeight="1" x14ac:dyDescent="0.25">
      <c r="A22" s="66" t="s">
        <v>202</v>
      </c>
      <c r="B22" s="67">
        <v>0</v>
      </c>
      <c r="C22" s="68" t="s">
        <v>203</v>
      </c>
    </row>
    <row r="24" spans="1:3" x14ac:dyDescent="0.25">
      <c r="A24" s="72" t="s">
        <v>204</v>
      </c>
      <c r="B24" s="72"/>
      <c r="C24" s="72"/>
    </row>
    <row r="25" spans="1:3" ht="19.5" customHeight="1" x14ac:dyDescent="0.25">
      <c r="A25" s="66" t="s">
        <v>205</v>
      </c>
      <c r="B25" s="71">
        <v>8</v>
      </c>
      <c r="C25" s="68" t="s">
        <v>206</v>
      </c>
    </row>
    <row r="26" spans="1:3" ht="19.5" customHeight="1" x14ac:dyDescent="0.25">
      <c r="A26" s="66" t="s">
        <v>207</v>
      </c>
      <c r="B26" s="67">
        <v>-15</v>
      </c>
      <c r="C26" s="68" t="s">
        <v>208</v>
      </c>
    </row>
    <row r="27" spans="1:3" ht="19.5" customHeight="1" x14ac:dyDescent="0.25">
      <c r="A27" s="66" t="s">
        <v>209</v>
      </c>
      <c r="B27" s="67" t="s">
        <v>210</v>
      </c>
      <c r="C27" s="68" t="s">
        <v>211</v>
      </c>
    </row>
  </sheetData>
  <mergeCells count="6">
    <mergeCell ref="A24:C24"/>
    <mergeCell ref="A1:C1"/>
    <mergeCell ref="A2:C2"/>
    <mergeCell ref="A4:C4"/>
    <mergeCell ref="A11:C11"/>
    <mergeCell ref="A18:C18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📊 Depot</vt:lpstr>
      <vt:lpstr>📝 Transaktionen</vt:lpstr>
      <vt:lpstr>🧾 Steuer &amp; Freistellung</vt:lpstr>
      <vt:lpstr>💰 Dividenden</vt:lpstr>
      <vt:lpstr>⚙️ Einstellungen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2026-05-07T10:44:23Z</dcterms:created>
  <dcterms:modified xsi:type="dcterms:W3CDTF">2026-05-07T11:00:33Z</dcterms:modified>
  <dc:language>en-US</dc:language>
</cp:coreProperties>
</file>