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nerador\"/>
    </mc:Choice>
  </mc:AlternateContent>
  <xr:revisionPtr revIDLastSave="0" documentId="13_ncr:1_{569699BD-3551-4C6D-8AFB-3E65CFB62BC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Arbeitsplan" sheetId="2" r:id="rId1"/>
    <sheet name="Einstellungen" sheetId="1" r:id="rId2"/>
    <sheet name="Auswertung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9" i="3" l="1"/>
  <c r="C49" i="3"/>
  <c r="A49" i="3"/>
  <c r="E49" i="3" s="1"/>
  <c r="D48" i="3"/>
  <c r="C48" i="3"/>
  <c r="B48" i="3"/>
  <c r="A48" i="3"/>
  <c r="E48" i="3" s="1"/>
  <c r="D47" i="3"/>
  <c r="C47" i="3"/>
  <c r="A47" i="3"/>
  <c r="E47" i="3" s="1"/>
  <c r="D46" i="3"/>
  <c r="C46" i="3"/>
  <c r="B46" i="3"/>
  <c r="A46" i="3"/>
  <c r="D45" i="3"/>
  <c r="C45" i="3"/>
  <c r="A45" i="3"/>
  <c r="D44" i="3"/>
  <c r="C44" i="3"/>
  <c r="A44" i="3"/>
  <c r="D43" i="3"/>
  <c r="C43" i="3"/>
  <c r="B43" i="3"/>
  <c r="A43" i="3"/>
  <c r="D42" i="3"/>
  <c r="C42" i="3"/>
  <c r="B42" i="3"/>
  <c r="A42" i="3"/>
  <c r="E42" i="3" s="1"/>
  <c r="D41" i="3"/>
  <c r="C41" i="3"/>
  <c r="A41" i="3"/>
  <c r="E41" i="3" s="1"/>
  <c r="D40" i="3"/>
  <c r="C40" i="3"/>
  <c r="A40" i="3"/>
  <c r="D39" i="3"/>
  <c r="C39" i="3"/>
  <c r="A39" i="3"/>
  <c r="D38" i="3"/>
  <c r="C38" i="3"/>
  <c r="B38" i="3"/>
  <c r="A38" i="3"/>
  <c r="D37" i="3"/>
  <c r="C37" i="3"/>
  <c r="A37" i="3"/>
  <c r="D36" i="3"/>
  <c r="C36" i="3"/>
  <c r="A36" i="3"/>
  <c r="E36" i="3" s="1"/>
  <c r="D35" i="3"/>
  <c r="C35" i="3"/>
  <c r="A35" i="3"/>
  <c r="E35" i="3" s="1"/>
  <c r="D34" i="3"/>
  <c r="C34" i="3"/>
  <c r="A34" i="3"/>
  <c r="E34" i="3" s="1"/>
  <c r="D33" i="3"/>
  <c r="C33" i="3"/>
  <c r="A33" i="3"/>
  <c r="E33" i="3" s="1"/>
  <c r="D32" i="3"/>
  <c r="C32" i="3"/>
  <c r="B32" i="3"/>
  <c r="A32" i="3"/>
  <c r="D31" i="3"/>
  <c r="C31" i="3"/>
  <c r="B31" i="3"/>
  <c r="A31" i="3"/>
  <c r="D30" i="3"/>
  <c r="C30" i="3"/>
  <c r="A30" i="3"/>
  <c r="E30" i="3" s="1"/>
  <c r="D29" i="3"/>
  <c r="C29" i="3"/>
  <c r="A29" i="3"/>
  <c r="E29" i="3" s="1"/>
  <c r="D28" i="3"/>
  <c r="C28" i="3"/>
  <c r="A28" i="3"/>
  <c r="E28" i="3" s="1"/>
  <c r="D27" i="3"/>
  <c r="C27" i="3"/>
  <c r="B27" i="3"/>
  <c r="A27" i="3"/>
  <c r="E27" i="3" s="1"/>
  <c r="D26" i="3"/>
  <c r="C26" i="3"/>
  <c r="B26" i="3"/>
  <c r="A26" i="3"/>
  <c r="D25" i="3"/>
  <c r="C25" i="3"/>
  <c r="A25" i="3"/>
  <c r="D24" i="3"/>
  <c r="C24" i="3"/>
  <c r="A24" i="3"/>
  <c r="E24" i="3" s="1"/>
  <c r="D23" i="3"/>
  <c r="C23" i="3"/>
  <c r="B23" i="3"/>
  <c r="A23" i="3"/>
  <c r="E23" i="3" s="1"/>
  <c r="D22" i="3"/>
  <c r="C22" i="3"/>
  <c r="B22" i="3"/>
  <c r="A22" i="3"/>
  <c r="E22" i="3" s="1"/>
  <c r="D21" i="3"/>
  <c r="C21" i="3"/>
  <c r="A21" i="3"/>
  <c r="D20" i="3"/>
  <c r="C20" i="3"/>
  <c r="A20" i="3"/>
  <c r="D19" i="3"/>
  <c r="C19" i="3"/>
  <c r="A19" i="3"/>
  <c r="C16" i="3"/>
  <c r="B16" i="3"/>
  <c r="A16" i="3"/>
  <c r="A2" i="3"/>
  <c r="AP21" i="2"/>
  <c r="AO21" i="2"/>
  <c r="AN21" i="2"/>
  <c r="AM21" i="2"/>
  <c r="AL21" i="2"/>
  <c r="AK21" i="2"/>
  <c r="AJ21" i="2"/>
  <c r="D21" i="2"/>
  <c r="A21" i="2"/>
  <c r="C21" i="2" s="1"/>
  <c r="A20" i="2"/>
  <c r="AK20" i="2" s="1"/>
  <c r="AP19" i="2"/>
  <c r="AO19" i="2"/>
  <c r="AN19" i="2"/>
  <c r="AM19" i="2"/>
  <c r="AL19" i="2"/>
  <c r="AK19" i="2"/>
  <c r="C19" i="2"/>
  <c r="A19" i="2"/>
  <c r="AJ19" i="2" s="1"/>
  <c r="A18" i="2"/>
  <c r="AM18" i="2" s="1"/>
  <c r="AM17" i="2"/>
  <c r="G16" i="3" s="1"/>
  <c r="AJ17" i="2"/>
  <c r="D17" i="2"/>
  <c r="C17" i="2"/>
  <c r="B17" i="2"/>
  <c r="A17" i="2"/>
  <c r="AL17" i="2" s="1"/>
  <c r="F16" i="3" s="1"/>
  <c r="A16" i="2"/>
  <c r="A15" i="2"/>
  <c r="A14" i="2"/>
  <c r="A13" i="2"/>
  <c r="AM12" i="2"/>
  <c r="G11" i="3" s="1"/>
  <c r="AL12" i="2"/>
  <c r="F11" i="3" s="1"/>
  <c r="AK12" i="2"/>
  <c r="D12" i="2"/>
  <c r="AJ12" i="2" s="1"/>
  <c r="C11" i="3" s="1"/>
  <c r="C12" i="2"/>
  <c r="B11" i="3" s="1"/>
  <c r="A12" i="2"/>
  <c r="B12" i="2" s="1"/>
  <c r="A11" i="3" s="1"/>
  <c r="A11" i="2"/>
  <c r="AM10" i="2"/>
  <c r="AL10" i="2"/>
  <c r="F9" i="3" s="1"/>
  <c r="AK10" i="2"/>
  <c r="AO10" i="2" s="1"/>
  <c r="C10" i="2"/>
  <c r="B10" i="2"/>
  <c r="A9" i="3" s="1"/>
  <c r="A10" i="2"/>
  <c r="D10" i="2" s="1"/>
  <c r="AJ10" i="2" s="1"/>
  <c r="AI9" i="2"/>
  <c r="B49" i="3" s="1"/>
  <c r="AH9" i="2"/>
  <c r="AG9" i="2"/>
  <c r="B47" i="3" s="1"/>
  <c r="AF9" i="2"/>
  <c r="AE9" i="2"/>
  <c r="B45" i="3" s="1"/>
  <c r="AD9" i="2"/>
  <c r="B44" i="3" s="1"/>
  <c r="AC9" i="2"/>
  <c r="AB9" i="2"/>
  <c r="AA9" i="2"/>
  <c r="B41" i="3" s="1"/>
  <c r="Z9" i="2"/>
  <c r="B40" i="3" s="1"/>
  <c r="Y9" i="2"/>
  <c r="B39" i="3" s="1"/>
  <c r="X9" i="2"/>
  <c r="W9" i="2"/>
  <c r="B37" i="3" s="1"/>
  <c r="V9" i="2"/>
  <c r="B36" i="3" s="1"/>
  <c r="U9" i="2"/>
  <c r="B35" i="3" s="1"/>
  <c r="T9" i="2"/>
  <c r="B34" i="3" s="1"/>
  <c r="S9" i="2"/>
  <c r="B33" i="3" s="1"/>
  <c r="R9" i="2"/>
  <c r="Q9" i="2"/>
  <c r="P9" i="2"/>
  <c r="B30" i="3" s="1"/>
  <c r="O9" i="2"/>
  <c r="B29" i="3" s="1"/>
  <c r="N9" i="2"/>
  <c r="B28" i="3" s="1"/>
  <c r="M9" i="2"/>
  <c r="L9" i="2"/>
  <c r="K9" i="2"/>
  <c r="B25" i="3" s="1"/>
  <c r="J9" i="2"/>
  <c r="B24" i="3" s="1"/>
  <c r="I9" i="2"/>
  <c r="H9" i="2"/>
  <c r="G9" i="2"/>
  <c r="B21" i="3" s="1"/>
  <c r="F9" i="2"/>
  <c r="B20" i="3" s="1"/>
  <c r="E9" i="2"/>
  <c r="B19" i="3" s="1"/>
  <c r="A2" i="2"/>
  <c r="O19" i="1"/>
  <c r="O18" i="1"/>
  <c r="O17" i="1"/>
  <c r="O16" i="1"/>
  <c r="AK17" i="2" s="1"/>
  <c r="E44" i="3" l="1"/>
  <c r="E21" i="3"/>
  <c r="E45" i="3"/>
  <c r="E46" i="3"/>
  <c r="E40" i="3"/>
  <c r="E32" i="3"/>
  <c r="E39" i="3"/>
  <c r="E19" i="3"/>
  <c r="E25" i="3"/>
  <c r="E31" i="3"/>
  <c r="E37" i="3"/>
  <c r="E43" i="3"/>
  <c r="E20" i="3"/>
  <c r="E26" i="3"/>
  <c r="E38" i="3"/>
  <c r="AO17" i="2"/>
  <c r="H16" i="3" s="1"/>
  <c r="AN17" i="2"/>
  <c r="D16" i="3"/>
  <c r="AN12" i="2"/>
  <c r="C9" i="3"/>
  <c r="H9" i="3"/>
  <c r="AO16" i="2"/>
  <c r="H15" i="3" s="1"/>
  <c r="D14" i="2"/>
  <c r="AJ14" i="2" s="1"/>
  <c r="C13" i="3" s="1"/>
  <c r="G9" i="3"/>
  <c r="AM14" i="2"/>
  <c r="G13" i="3" s="1"/>
  <c r="B20" i="2"/>
  <c r="D13" i="2"/>
  <c r="AN18" i="2"/>
  <c r="AL20" i="2"/>
  <c r="AL11" i="2"/>
  <c r="F10" i="3" s="1"/>
  <c r="AJ13" i="2"/>
  <c r="C12" i="3" s="1"/>
  <c r="C15" i="2"/>
  <c r="B14" i="3" s="1"/>
  <c r="AO18" i="2"/>
  <c r="AM20" i="2"/>
  <c r="D9" i="3"/>
  <c r="B14" i="2"/>
  <c r="A13" i="3" s="1"/>
  <c r="AN10" i="2"/>
  <c r="AL14" i="2"/>
  <c r="F13" i="3" s="1"/>
  <c r="AJ16" i="2"/>
  <c r="C15" i="3" s="1"/>
  <c r="C18" i="2"/>
  <c r="AL16" i="2"/>
  <c r="F15" i="3" s="1"/>
  <c r="O9" i="3"/>
  <c r="AM11" i="2"/>
  <c r="G10" i="3" s="1"/>
  <c r="AK13" i="2"/>
  <c r="D12" i="3" s="1"/>
  <c r="D15" i="2"/>
  <c r="AP18" i="2"/>
  <c r="AN20" i="2"/>
  <c r="AK14" i="2"/>
  <c r="D13" i="3" s="1"/>
  <c r="B18" i="2"/>
  <c r="AL13" i="2"/>
  <c r="F12" i="3" s="1"/>
  <c r="AJ15" i="2"/>
  <c r="C14" i="3" s="1"/>
  <c r="AO20" i="2"/>
  <c r="AM13" i="2"/>
  <c r="G12" i="3" s="1"/>
  <c r="AK15" i="2"/>
  <c r="B19" i="2"/>
  <c r="AP20" i="2"/>
  <c r="C16" i="2"/>
  <c r="B15" i="3" s="1"/>
  <c r="D16" i="2"/>
  <c r="AO12" i="2"/>
  <c r="H11" i="3" s="1"/>
  <c r="AK16" i="2"/>
  <c r="D15" i="3" s="1"/>
  <c r="D18" i="2"/>
  <c r="AJ18" i="2"/>
  <c r="D11" i="3"/>
  <c r="C14" i="2"/>
  <c r="B13" i="3" s="1"/>
  <c r="B16" i="2"/>
  <c r="A15" i="3" s="1"/>
  <c r="B11" i="2"/>
  <c r="C11" i="2"/>
  <c r="AO14" i="2"/>
  <c r="H13" i="3" s="1"/>
  <c r="AM16" i="2"/>
  <c r="G15" i="3" s="1"/>
  <c r="AK18" i="2"/>
  <c r="D20" i="2"/>
  <c r="AK11" i="2"/>
  <c r="D10" i="3" s="1"/>
  <c r="AL15" i="2"/>
  <c r="F14" i="3" s="1"/>
  <c r="AO13" i="2"/>
  <c r="H12" i="3" s="1"/>
  <c r="AM15" i="2"/>
  <c r="G14" i="3" s="1"/>
  <c r="D19" i="2"/>
  <c r="B21" i="2"/>
  <c r="B9" i="3"/>
  <c r="C20" i="2"/>
  <c r="D11" i="2"/>
  <c r="B13" i="2"/>
  <c r="A12" i="3" s="1"/>
  <c r="AL18" i="2"/>
  <c r="AJ20" i="2"/>
  <c r="AJ11" i="2"/>
  <c r="C10" i="3" s="1"/>
  <c r="C13" i="2"/>
  <c r="B12" i="3" s="1"/>
  <c r="B15" i="2"/>
  <c r="A14" i="3" s="1"/>
  <c r="AN13" i="2"/>
  <c r="E12" i="3" s="1"/>
  <c r="M9" i="3" l="1"/>
  <c r="E11" i="3"/>
  <c r="AP12" i="2"/>
  <c r="I11" i="3" s="1"/>
  <c r="D14" i="3"/>
  <c r="AO15" i="2"/>
  <c r="AN15" i="2"/>
  <c r="P10" i="3"/>
  <c r="O12" i="3"/>
  <c r="L12" i="3"/>
  <c r="L10" i="3"/>
  <c r="O11" i="3"/>
  <c r="M12" i="3"/>
  <c r="L9" i="3"/>
  <c r="N10" i="3"/>
  <c r="M11" i="3"/>
  <c r="N12" i="3"/>
  <c r="M10" i="3"/>
  <c r="L11" i="3"/>
  <c r="O10" i="3"/>
  <c r="P12" i="3"/>
  <c r="B10" i="3"/>
  <c r="AP13" i="2"/>
  <c r="I12" i="3" s="1"/>
  <c r="A10" i="3"/>
  <c r="A5" i="2"/>
  <c r="AN11" i="2"/>
  <c r="K5" i="3"/>
  <c r="C5" i="3"/>
  <c r="P9" i="3"/>
  <c r="E16" i="3"/>
  <c r="AP17" i="2"/>
  <c r="I16" i="3" s="1"/>
  <c r="K5" i="2"/>
  <c r="P11" i="3"/>
  <c r="AO11" i="2"/>
  <c r="E9" i="3"/>
  <c r="O5" i="3"/>
  <c r="M5" i="3"/>
  <c r="AP10" i="2"/>
  <c r="I9" i="3" s="1"/>
  <c r="I5" i="3"/>
  <c r="A5" i="3"/>
  <c r="E5" i="3" s="1"/>
  <c r="AN16" i="2"/>
  <c r="AN14" i="2"/>
  <c r="F5" i="2"/>
  <c r="H10" i="3" l="1"/>
  <c r="G5" i="3"/>
  <c r="P5" i="2"/>
  <c r="AP15" i="2"/>
  <c r="I14" i="3" s="1"/>
  <c r="E14" i="3"/>
  <c r="E10" i="3"/>
  <c r="AP11" i="2"/>
  <c r="I10" i="3" s="1"/>
  <c r="H14" i="3"/>
  <c r="N11" i="3"/>
  <c r="E13" i="3"/>
  <c r="AP14" i="2"/>
  <c r="I13" i="3" s="1"/>
  <c r="E15" i="3"/>
  <c r="AP16" i="2"/>
  <c r="I15" i="3" s="1"/>
  <c r="N9" i="3"/>
</calcChain>
</file>

<file path=xl/sharedStrings.xml><?xml version="1.0" encoding="utf-8"?>
<sst xmlns="http://schemas.openxmlformats.org/spreadsheetml/2006/main" count="452" uniqueCount="129">
  <si>
    <t>Arbeitsplan Einstellungen</t>
  </si>
  <si>
    <t>Stammdaten für Mitarbeiter, Schichten und Planungszeitraum</t>
  </si>
  <si>
    <t>Planungsdaten</t>
  </si>
  <si>
    <t>Unternehmen</t>
  </si>
  <si>
    <t>Muster GmbH</t>
  </si>
  <si>
    <t>Abteilung / Standort</t>
  </si>
  <si>
    <t>Filiale Berlin</t>
  </si>
  <si>
    <t>Planungsmonat</t>
  </si>
  <si>
    <t>Januar</t>
  </si>
  <si>
    <t>Planungsjahr</t>
  </si>
  <si>
    <t>Wochenarbeitszeit Standard</t>
  </si>
  <si>
    <t>Mindestbesetzung pro Tag</t>
  </si>
  <si>
    <t>Verantwortlich</t>
  </si>
  <si>
    <t>Teamleitung</t>
  </si>
  <si>
    <t>Letzte Aktualisierung</t>
  </si>
  <si>
    <t>Mitarbeiter</t>
  </si>
  <si>
    <t>Schichtarten</t>
  </si>
  <si>
    <t>Monat</t>
  </si>
  <si>
    <t>Nr.</t>
  </si>
  <si>
    <t>Abteilungen</t>
  </si>
  <si>
    <t>Aktiv</t>
  </si>
  <si>
    <t>Abwesenheit</t>
  </si>
  <si>
    <t>Schichten</t>
  </si>
  <si>
    <t>Mitarbeiter-ID</t>
  </si>
  <si>
    <t>Abteilung</t>
  </si>
  <si>
    <t>Rolle</t>
  </si>
  <si>
    <t>Vertragsstunden pro Woche</t>
  </si>
  <si>
    <t>Stundenlohn (€)</t>
  </si>
  <si>
    <t>Bemerkungen</t>
  </si>
  <si>
    <t>Kürzel</t>
  </si>
  <si>
    <t>Schichtname</t>
  </si>
  <si>
    <t>Beginn</t>
  </si>
  <si>
    <t>Ende</t>
  </si>
  <si>
    <t>Pause</t>
  </si>
  <si>
    <t>Stunden</t>
  </si>
  <si>
    <t>Hinweis</t>
  </si>
  <si>
    <t>Verkauf</t>
  </si>
  <si>
    <t>Ja</t>
  </si>
  <si>
    <t>Urlaub</t>
  </si>
  <si>
    <t>F</t>
  </si>
  <si>
    <t>M001</t>
  </si>
  <si>
    <t>Max Müller</t>
  </si>
  <si>
    <t>Verkäufer</t>
  </si>
  <si>
    <t>Vollzeit</t>
  </si>
  <si>
    <t>Frühschicht</t>
  </si>
  <si>
    <t>Frühdienst</t>
  </si>
  <si>
    <t>Februar</t>
  </si>
  <si>
    <t>Lager</t>
  </si>
  <si>
    <t>Nein</t>
  </si>
  <si>
    <t>Krank</t>
  </si>
  <si>
    <t>S</t>
  </si>
  <si>
    <t>M002</t>
  </si>
  <si>
    <t>Anna Schmidt</t>
  </si>
  <si>
    <t>Schichtleitung</t>
  </si>
  <si>
    <t>Leitung Früh/Spät</t>
  </si>
  <si>
    <t>Spätschicht</t>
  </si>
  <si>
    <t>Spätdienst</t>
  </si>
  <si>
    <t>März</t>
  </si>
  <si>
    <t>Service</t>
  </si>
  <si>
    <t>Fortbildung</t>
  </si>
  <si>
    <t>N</t>
  </si>
  <si>
    <t>M003</t>
  </si>
  <si>
    <t>Peter Meier</t>
  </si>
  <si>
    <t>Lagermitarbeiter</t>
  </si>
  <si>
    <t>Wareneingang</t>
  </si>
  <si>
    <t>Nachtschicht</t>
  </si>
  <si>
    <t>Nachtdienst</t>
  </si>
  <si>
    <t>April</t>
  </si>
  <si>
    <t>Verwaltung</t>
  </si>
  <si>
    <t>Frei</t>
  </si>
  <si>
    <t>T</t>
  </si>
  <si>
    <t>M004</t>
  </si>
  <si>
    <t>Laura Becker</t>
  </si>
  <si>
    <t>Kundenservice</t>
  </si>
  <si>
    <t>Teilzeit</t>
  </si>
  <si>
    <t>Tagschicht</t>
  </si>
  <si>
    <t>Regulär</t>
  </si>
  <si>
    <t>Mai</t>
  </si>
  <si>
    <t>U</t>
  </si>
  <si>
    <t>M005</t>
  </si>
  <si>
    <t>Thomas Wagner</t>
  </si>
  <si>
    <t>Juni</t>
  </si>
  <si>
    <t>K</t>
  </si>
  <si>
    <t>M006</t>
  </si>
  <si>
    <t>Julia Fischer</t>
  </si>
  <si>
    <t>Servicekraft</t>
  </si>
  <si>
    <t>Schwerpunkt Spätdienst</t>
  </si>
  <si>
    <t>Juli</t>
  </si>
  <si>
    <t>M007</t>
  </si>
  <si>
    <t>Michael Schneider</t>
  </si>
  <si>
    <t>Staplerschein</t>
  </si>
  <si>
    <t>August</t>
  </si>
  <si>
    <t>M008</t>
  </si>
  <si>
    <t>Sophie Klein</t>
  </si>
  <si>
    <t>Assistenz</t>
  </si>
  <si>
    <t>Vormittags</t>
  </si>
  <si>
    <t>September</t>
  </si>
  <si>
    <t>Oktober</t>
  </si>
  <si>
    <t>November</t>
  </si>
  <si>
    <t>Dezember</t>
  </si>
  <si>
    <t>Abwesenheiten</t>
  </si>
  <si>
    <t>Von</t>
  </si>
  <si>
    <t>Bis</t>
  </si>
  <si>
    <t>Art</t>
  </si>
  <si>
    <t>Genehmigt</t>
  </si>
  <si>
    <t>Resturlaub</t>
  </si>
  <si>
    <t>Krankmeldung</t>
  </si>
  <si>
    <t>Anfrage</t>
  </si>
  <si>
    <t>Arbeitsplan</t>
  </si>
  <si>
    <t>Geplante Mitarbeiter</t>
  </si>
  <si>
    <t>Gesamtstunden</t>
  </si>
  <si>
    <t>Urlaubstage</t>
  </si>
  <si>
    <t>Lohnkosten gesamt</t>
  </si>
  <si>
    <t>Vertragsstd./Woche</t>
  </si>
  <si>
    <t>Sollstunden</t>
  </si>
  <si>
    <t>Iststunden</t>
  </si>
  <si>
    <t>Krankheitstage</t>
  </si>
  <si>
    <t>Überstunden / Differenz</t>
  </si>
  <si>
    <t>Lohnkosten (€)</t>
  </si>
  <si>
    <t>Status</t>
  </si>
  <si>
    <t>Differenz Stunden</t>
  </si>
  <si>
    <t>Mitarbeiter mit Überstunden</t>
  </si>
  <si>
    <t>Mitarbeiter unter Soll</t>
  </si>
  <si>
    <t>Differenz</t>
  </si>
  <si>
    <t>Tag</t>
  </si>
  <si>
    <t>Wochentag</t>
  </si>
  <si>
    <t>Besetzung</t>
  </si>
  <si>
    <t>Mindestbesetzung</t>
  </si>
  <si>
    <t>Dienstplan Auswertung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</si>
</sst>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\€"/>
    <numFmt numFmtId="165" formatCode="hh:mm"/>
    <numFmt numFmtId="166" formatCode="dd\.mm\.yyyy"/>
  </numFmts>
  <fonts count="12" x14ac:knownFonts="1">
    <font>
      <sz val="11"/>
      <name val="Carlito"/>
    </font>
    <font>
      <b/>
      <sz val="18"/>
      <color rgb="FFFFFFFF"/>
      <name val="Calibri"/>
    </font>
    <font>
      <i/>
      <sz val="11"/>
      <color rgb="FF1F415A"/>
      <name val="Calibri"/>
    </font>
    <font>
      <b/>
      <sz val="11"/>
      <color rgb="FFFFFFFF"/>
      <name val="Calibri"/>
    </font>
    <font>
      <b/>
      <sz val="10"/>
      <color rgb="FFFFFFFF"/>
      <name val="Calibri"/>
    </font>
    <font>
      <sz val="10"/>
      <color rgb="FF1F2933"/>
      <name val="Calibri"/>
    </font>
    <font>
      <b/>
      <sz val="10"/>
      <color rgb="FF1F2933"/>
      <name val="Calibri"/>
    </font>
    <font>
      <b/>
      <sz val="14"/>
      <color rgb="FF00484E"/>
      <name val="Calibri"/>
    </font>
    <font>
      <b/>
      <sz val="9"/>
      <color rgb="FF1F415A"/>
      <name val="Calibri"/>
    </font>
    <font>
      <b/>
      <sz val="9"/>
      <color rgb="FFFFFFFF"/>
      <name val="Calibri"/>
    </font>
    <font>
      <b/>
      <sz val="13"/>
      <color rgb="FF00484E"/>
      <name val="Calibri"/>
    </font>
    <font>
      <sz val="11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3F3"/>
      </patternFill>
    </fill>
    <fill>
      <patternFill patternType="solid">
        <fgColor rgb="FF1F415A"/>
      </patternFill>
    </fill>
    <fill>
      <patternFill patternType="solid">
        <fgColor rgb="FFF3F8F8"/>
      </patternFill>
    </fill>
    <fill>
      <patternFill patternType="solid">
        <fgColor rgb="FFFFF9E6"/>
      </patternFill>
    </fill>
  </fills>
  <borders count="2">
    <border>
      <left/>
      <right/>
      <top/>
      <bottom/>
      <diagonal/>
    </border>
    <border>
      <left style="thin">
        <color rgb="FFD9E2E3"/>
      </left>
      <right style="thin">
        <color rgb="FFD9E2E3"/>
      </right>
      <top style="thin">
        <color rgb="FFD9E2E3"/>
      </top>
      <bottom style="thin">
        <color rgb="FFD9E2E3"/>
      </bottom>
      <diagonal/>
    </border>
  </borders>
  <cellStyleXfs count="2">
    <xf numFmtId="0" fontId="0" fillId="0" borderId="0"/>
    <xf numFmtId="0" fontId="11" fillId="0" borderId="0"/>
  </cellStyleXfs>
  <cellXfs count="27">
    <xf numFmtId="0" fontId="0" fillId="0" borderId="0" xfId="0"/>
    <xf numFmtId="0" fontId="4" fillId="2" borderId="0" xfId="1" applyFont="1" applyFill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6" fillId="2" borderId="1" xfId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vertical="center"/>
    </xf>
    <xf numFmtId="0" fontId="5" fillId="6" borderId="1" xfId="1" applyFont="1" applyFill="1" applyBorder="1" applyAlignment="1">
      <alignment vertical="center"/>
    </xf>
    <xf numFmtId="164" fontId="5" fillId="0" borderId="1" xfId="1" applyNumberFormat="1" applyFont="1" applyBorder="1" applyAlignment="1">
      <alignment vertical="center"/>
    </xf>
    <xf numFmtId="165" fontId="5" fillId="0" borderId="1" xfId="1" applyNumberFormat="1" applyFont="1" applyBorder="1" applyAlignment="1">
      <alignment vertical="center"/>
    </xf>
    <xf numFmtId="2" fontId="5" fillId="0" borderId="1" xfId="1" applyNumberFormat="1" applyFont="1" applyBorder="1" applyAlignment="1">
      <alignment vertical="center"/>
    </xf>
    <xf numFmtId="166" fontId="5" fillId="5" borderId="1" xfId="1" applyNumberFormat="1" applyFont="1" applyFill="1" applyBorder="1" applyAlignment="1">
      <alignment vertical="center"/>
    </xf>
    <xf numFmtId="0" fontId="4" fillId="2" borderId="0" xfId="1" applyFont="1" applyFill="1" applyAlignment="1">
      <alignment horizontal="center" vertical="center" wrapText="1"/>
    </xf>
    <xf numFmtId="0" fontId="8" fillId="3" borderId="0" xfId="1" applyFont="1" applyFill="1" applyAlignment="1">
      <alignment horizontal="center"/>
    </xf>
    <xf numFmtId="0" fontId="5" fillId="0" borderId="1" xfId="1" applyFont="1" applyBorder="1" applyAlignment="1">
      <alignment horizontal="center" vertical="center"/>
    </xf>
    <xf numFmtId="2" fontId="5" fillId="5" borderId="1" xfId="1" applyNumberFormat="1" applyFont="1" applyFill="1" applyBorder="1" applyAlignment="1">
      <alignment vertical="center"/>
    </xf>
    <xf numFmtId="164" fontId="5" fillId="5" borderId="1" xfId="1" applyNumberFormat="1" applyFont="1" applyFill="1" applyBorder="1" applyAlignment="1">
      <alignment vertical="center"/>
    </xf>
    <xf numFmtId="0" fontId="3" fillId="2" borderId="0" xfId="1" applyFont="1" applyFill="1" applyAlignment="1">
      <alignment horizontal="center"/>
    </xf>
    <xf numFmtId="0" fontId="1" fillId="2" borderId="0" xfId="1" applyFont="1" applyFill="1" applyAlignment="1">
      <alignment vertical="center"/>
    </xf>
    <xf numFmtId="0" fontId="2" fillId="3" borderId="0" xfId="1" applyFont="1" applyFill="1"/>
    <xf numFmtId="0" fontId="3" fillId="4" borderId="0" xfId="1" applyFont="1" applyFill="1"/>
    <xf numFmtId="0" fontId="4" fillId="4" borderId="0" xfId="1" applyFont="1" applyFill="1" applyAlignment="1">
      <alignment horizontal="center"/>
    </xf>
    <xf numFmtId="0" fontId="7" fillId="5" borderId="0" xfId="1" applyFont="1" applyFill="1" applyAlignment="1">
      <alignment horizontal="center"/>
    </xf>
    <xf numFmtId="2" fontId="7" fillId="5" borderId="0" xfId="1" applyNumberFormat="1" applyFont="1" applyFill="1" applyAlignment="1">
      <alignment horizontal="center"/>
    </xf>
    <xf numFmtId="164" fontId="7" fillId="5" borderId="0" xfId="1" applyNumberFormat="1" applyFont="1" applyFill="1" applyAlignment="1">
      <alignment horizontal="center"/>
    </xf>
    <xf numFmtId="0" fontId="9" fillId="4" borderId="0" xfId="1" applyFont="1" applyFill="1" applyAlignment="1">
      <alignment horizontal="center" wrapText="1"/>
    </xf>
    <xf numFmtId="2" fontId="10" fillId="5" borderId="0" xfId="1" applyNumberFormat="1" applyFont="1" applyFill="1" applyAlignment="1">
      <alignment horizontal="center"/>
    </xf>
    <xf numFmtId="164" fontId="10" fillId="5" borderId="0" xfId="1" applyNumberFormat="1" applyFont="1" applyFill="1" applyAlignment="1">
      <alignment horizontal="center"/>
    </xf>
    <xf numFmtId="0" fontId="10" fillId="5" borderId="0" xfId="1" applyFont="1" applyFill="1" applyAlignment="1">
      <alignment horizontal="center"/>
    </xf>
  </cellXfs>
  <cellStyles count="2">
    <cellStyle name="Normal" xfId="1" xr:uid="{00000000-0005-0000-0000-000000000000}"/>
    <cellStyle name="Standard" xfId="0" builtinId="0"/>
  </cellStyles>
  <dxfs count="16"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CE5CD"/>
        </patternFill>
      </fill>
    </dxf>
    <dxf>
      <font>
        <b/>
        <color rgb="FF274E13"/>
      </font>
      <fill>
        <patternFill patternType="solid">
          <bgColor rgb="FFD9EAD3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274E13"/>
      </font>
      <fill>
        <patternFill patternType="solid">
          <bgColor rgb="FFD9EAD3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CE5CD"/>
        </patternFill>
      </fill>
    </dxf>
    <dxf>
      <font>
        <b/>
        <color rgb="FF274E13"/>
      </font>
      <fill>
        <patternFill patternType="solid">
          <bgColor rgb="FFD9EAD3"/>
        </patternFill>
      </fill>
    </dxf>
    <dxf>
      <fill>
        <patternFill patternType="solid">
          <bgColor rgb="FFEEF4F7"/>
        </patternFill>
      </fill>
    </dxf>
    <dxf>
      <fill>
        <patternFill patternType="solid">
          <bgColor rgb="FFF2F2F2"/>
        </patternFill>
      </fill>
    </dxf>
    <dxf>
      <fill>
        <patternFill patternType="solid">
          <bgColor rgb="FFF4CCCC"/>
        </patternFill>
      </fill>
    </dxf>
    <dxf>
      <fill>
        <patternFill patternType="solid">
          <bgColor rgb="FFFFF2CC"/>
        </patternFill>
      </fill>
    </dxf>
    <dxf>
      <fill>
        <patternFill patternType="solid">
          <bgColor rgb="FFEDEDED"/>
        </patternFill>
      </fill>
    </dxf>
    <dxf>
      <fill>
        <patternFill patternType="solid">
          <bgColor rgb="FFEADCF8"/>
        </patternFill>
      </fill>
    </dxf>
    <dxf>
      <fill>
        <patternFill patternType="solid">
          <bgColor rgb="FFE2F0D9"/>
        </patternFill>
      </fill>
    </dxf>
    <dxf>
      <fill>
        <patternFill patternType="solid">
          <bgColor rgb="FFDDEBF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/>
          <a:lstStyle/>
          <a:p>
            <a:r>
              <a:rPr lang="de-DE"/>
              <a:t>Iststunden pro Mitarbeiter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Iststunden</c:v>
          </c:tx>
          <c:invertIfNegative val="1"/>
          <c:cat>
            <c:strLit>
              <c:ptCount val="8"/>
              <c:pt idx="0">
                <c:v>Max Müller</c:v>
              </c:pt>
              <c:pt idx="1">
                <c:v>Anna Schmidt</c:v>
              </c:pt>
              <c:pt idx="2">
                <c:v>Peter Meier</c:v>
              </c:pt>
              <c:pt idx="3">
                <c:v>Laura Becker</c:v>
              </c:pt>
              <c:pt idx="4">
                <c:v>Thomas Wagner</c:v>
              </c:pt>
              <c:pt idx="5">
                <c:v>Julia Fischer</c:v>
              </c:pt>
              <c:pt idx="6">
                <c:v>Michael Schneider</c:v>
              </c:pt>
              <c:pt idx="7">
                <c:v>Sophie Klein</c:v>
              </c:pt>
            </c:strLit>
          </c:cat>
          <c:val>
            <c:numLit>
              <c:formatCode>General</c:formatCode>
              <c:ptCount val="8"/>
              <c:pt idx="0">
                <c:v>165</c:v>
              </c:pt>
              <c:pt idx="1">
                <c:v>172.5</c:v>
              </c:pt>
              <c:pt idx="2">
                <c:v>172.5</c:v>
              </c:pt>
              <c:pt idx="3">
                <c:v>157.5</c:v>
              </c:pt>
              <c:pt idx="4">
                <c:v>127.5</c:v>
              </c:pt>
              <c:pt idx="5">
                <c:v>157.5</c:v>
              </c:pt>
              <c:pt idx="6">
                <c:v>172.5</c:v>
              </c:pt>
              <c:pt idx="7">
                <c:v>142.5</c:v>
              </c:pt>
            </c:numLit>
          </c:val>
          <c:extLst>
            <c:ext xmlns:c16="http://schemas.microsoft.com/office/drawing/2014/chart" uri="{C3380CC4-5D6E-409C-BE32-E72D297353CC}">
              <c16:uniqueId val="{00000000-F04C-4C31-B3CC-9A3F68B65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r>
                  <a:rPr lang="de-DE"/>
                  <a:t>Stunden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zero"/>
    <c:showDLblsOverMax val="1"/>
  </c:chart>
  <c:spPr>
    <a:solidFill>
      <a:schemeClr val="bg1">
        <a:lumMod val="95000"/>
      </a:schemeClr>
    </a:solidFill>
    <a:ln w="9525">
      <a:solidFill>
        <a:srgbClr val="D9D9D9"/>
      </a:solidFill>
      <a:prstDash val="solid"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/>
          <a:lstStyle/>
          <a:p>
            <a:r>
              <a:rPr lang="de-DE"/>
              <a:t>Besetzung pro Tag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Besetzung</c:v>
          </c:tx>
          <c:cat>
            <c:numLit>
              <c:formatCode>General</c:formatCode>
              <c:ptCount val="3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pt idx="30">
                <c:v>31</c:v>
              </c:pt>
            </c:numLit>
          </c:cat>
          <c:val>
            <c:numLit>
              <c:formatCode>General</c:formatCode>
              <c:ptCount val="31"/>
              <c:pt idx="0">
                <c:v>8</c:v>
              </c:pt>
              <c:pt idx="1">
                <c:v>8</c:v>
              </c:pt>
              <c:pt idx="2">
                <c:v>7</c:v>
              </c:pt>
              <c:pt idx="3">
                <c:v>6</c:v>
              </c:pt>
              <c:pt idx="4">
                <c:v>5</c:v>
              </c:pt>
              <c:pt idx="5">
                <c:v>2</c:v>
              </c:pt>
              <c:pt idx="6">
                <c:v>3</c:v>
              </c:pt>
              <c:pt idx="7">
                <c:v>7</c:v>
              </c:pt>
              <c:pt idx="8">
                <c:v>7</c:v>
              </c:pt>
              <c:pt idx="9">
                <c:v>8</c:v>
              </c:pt>
              <c:pt idx="10">
                <c:v>6</c:v>
              </c:pt>
              <c:pt idx="11">
                <c:v>6</c:v>
              </c:pt>
              <c:pt idx="12">
                <c:v>2</c:v>
              </c:pt>
              <c:pt idx="13">
                <c:v>2</c:v>
              </c:pt>
              <c:pt idx="14">
                <c:v>6</c:v>
              </c:pt>
              <c:pt idx="15">
                <c:v>7</c:v>
              </c:pt>
              <c:pt idx="16">
                <c:v>7</c:v>
              </c:pt>
              <c:pt idx="17">
                <c:v>5</c:v>
              </c:pt>
              <c:pt idx="18">
                <c:v>5</c:v>
              </c:pt>
              <c:pt idx="19">
                <c:v>4</c:v>
              </c:pt>
              <c:pt idx="20">
                <c:v>4</c:v>
              </c:pt>
              <c:pt idx="21">
                <c:v>6</c:v>
              </c:pt>
              <c:pt idx="22">
                <c:v>5</c:v>
              </c:pt>
              <c:pt idx="23">
                <c:v>6</c:v>
              </c:pt>
              <c:pt idx="24">
                <c:v>7</c:v>
              </c:pt>
              <c:pt idx="25">
                <c:v>5</c:v>
              </c:pt>
              <c:pt idx="26">
                <c:v>4</c:v>
              </c:pt>
              <c:pt idx="27">
                <c:v>4</c:v>
              </c:pt>
              <c:pt idx="28">
                <c:v>5</c:v>
              </c:pt>
              <c:pt idx="29">
                <c:v>5</c:v>
              </c:pt>
              <c:pt idx="30">
                <c:v>7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80-469B-9A05-A690F7A4C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title>
          <c:tx>
            <c:rich>
              <a:bodyPr/>
              <a:lstStyle/>
              <a:p>
                <a:r>
                  <a:rPr lang="de-DE"/>
                  <a:t>Mitarbeiter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zero"/>
    <c:showDLblsOverMax val="1"/>
  </c:chart>
  <c:spPr>
    <a:solidFill>
      <a:schemeClr val="bg1">
        <a:lumMod val="95000"/>
      </a:schemeClr>
    </a:solidFill>
    <a:ln w="9525">
      <a:solidFill>
        <a:srgbClr val="D9D9D9"/>
      </a:solidFill>
      <a:prstDash val="solid"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133350</xdr:colOff>
      <xdr:row>16</xdr:row>
      <xdr:rowOff>180975</xdr:rowOff>
    </xdr:from>
    <xdr:ext cx="5334000" cy="2667000"/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11</xdr:col>
      <xdr:colOff>9525</xdr:colOff>
      <xdr:row>16</xdr:row>
      <xdr:rowOff>190499</xdr:rowOff>
    </xdr:from>
    <xdr:ext cx="5334000" cy="2657475"/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21"/>
  <sheetViews>
    <sheetView workbookViewId="0">
      <selection sqref="A1:AP1"/>
    </sheetView>
  </sheetViews>
  <sheetFormatPr baseColWidth="10" defaultColWidth="9" defaultRowHeight="15" x14ac:dyDescent="0.25"/>
  <cols>
    <col min="1" max="1" width="15" customWidth="1"/>
    <col min="2" max="2" width="20" customWidth="1"/>
    <col min="3" max="4" width="14" customWidth="1"/>
    <col min="5" max="35" width="5" customWidth="1"/>
    <col min="36" max="39" width="13" customWidth="1"/>
    <col min="40" max="40" width="18" customWidth="1"/>
    <col min="41" max="42" width="14" customWidth="1"/>
  </cols>
  <sheetData>
    <row r="1" spans="1:42" ht="23.25" x14ac:dyDescent="0.25">
      <c r="A1" s="16" t="s">
        <v>108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2" spans="1:42" x14ac:dyDescent="0.25">
      <c r="A2" s="17" t="str">
        <f>"Planungsmonat: "&amp;Einstellungen!B7&amp;" "&amp;Einstellungen!B8</f>
        <v>Planungsmonat: Januar 2026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</row>
    <row r="4" spans="1:42" x14ac:dyDescent="0.25">
      <c r="A4" s="19" t="s">
        <v>109</v>
      </c>
      <c r="B4" s="19"/>
      <c r="C4" s="19"/>
      <c r="D4" s="19"/>
      <c r="F4" s="19" t="s">
        <v>110</v>
      </c>
      <c r="G4" s="19"/>
      <c r="H4" s="19"/>
      <c r="I4" s="19"/>
      <c r="K4" s="19" t="s">
        <v>111</v>
      </c>
      <c r="L4" s="19"/>
      <c r="M4" s="19"/>
      <c r="N4" s="19"/>
      <c r="P4" s="19" t="s">
        <v>112</v>
      </c>
      <c r="Q4" s="19"/>
      <c r="R4" s="19"/>
      <c r="S4" s="19"/>
    </row>
    <row r="5" spans="1:42" ht="18.75" x14ac:dyDescent="0.3">
      <c r="A5" s="20">
        <f>COUNTIF(B10:B21,"?*")</f>
        <v>8</v>
      </c>
      <c r="B5" s="20"/>
      <c r="C5" s="20"/>
      <c r="D5" s="20"/>
      <c r="F5" s="21">
        <f>SUM(AK10:AK21)</f>
        <v>1267.5</v>
      </c>
      <c r="G5" s="21"/>
      <c r="H5" s="21"/>
      <c r="I5" s="21"/>
      <c r="K5" s="20">
        <f>SUM(AL10:AL21)</f>
        <v>5</v>
      </c>
      <c r="L5" s="20"/>
      <c r="M5" s="20"/>
      <c r="N5" s="20"/>
      <c r="P5" s="22">
        <f>SUM(AO10:AO21)</f>
        <v>24009.75</v>
      </c>
      <c r="Q5" s="22"/>
      <c r="R5" s="22"/>
      <c r="S5" s="22"/>
    </row>
    <row r="8" spans="1:42" ht="21.95" customHeight="1" x14ac:dyDescent="0.25">
      <c r="A8" s="10" t="s">
        <v>23</v>
      </c>
      <c r="B8" s="10" t="s">
        <v>15</v>
      </c>
      <c r="C8" s="10" t="s">
        <v>24</v>
      </c>
      <c r="D8" s="10" t="s">
        <v>113</v>
      </c>
      <c r="E8" s="10">
        <v>1</v>
      </c>
      <c r="F8" s="10">
        <v>2</v>
      </c>
      <c r="G8" s="10">
        <v>3</v>
      </c>
      <c r="H8" s="10">
        <v>4</v>
      </c>
      <c r="I8" s="10">
        <v>5</v>
      </c>
      <c r="J8" s="10">
        <v>6</v>
      </c>
      <c r="K8" s="10">
        <v>7</v>
      </c>
      <c r="L8" s="10">
        <v>8</v>
      </c>
      <c r="M8" s="10">
        <v>9</v>
      </c>
      <c r="N8" s="10">
        <v>10</v>
      </c>
      <c r="O8" s="10">
        <v>11</v>
      </c>
      <c r="P8" s="10">
        <v>12</v>
      </c>
      <c r="Q8" s="10">
        <v>13</v>
      </c>
      <c r="R8" s="10">
        <v>14</v>
      </c>
      <c r="S8" s="10">
        <v>15</v>
      </c>
      <c r="T8" s="10">
        <v>16</v>
      </c>
      <c r="U8" s="10">
        <v>17</v>
      </c>
      <c r="V8" s="10">
        <v>18</v>
      </c>
      <c r="W8" s="10">
        <v>19</v>
      </c>
      <c r="X8" s="10">
        <v>20</v>
      </c>
      <c r="Y8" s="10">
        <v>21</v>
      </c>
      <c r="Z8" s="10">
        <v>22</v>
      </c>
      <c r="AA8" s="10">
        <v>23</v>
      </c>
      <c r="AB8" s="10">
        <v>24</v>
      </c>
      <c r="AC8" s="10">
        <v>25</v>
      </c>
      <c r="AD8" s="10">
        <v>26</v>
      </c>
      <c r="AE8" s="10">
        <v>27</v>
      </c>
      <c r="AF8" s="10">
        <v>28</v>
      </c>
      <c r="AG8" s="10">
        <v>29</v>
      </c>
      <c r="AH8" s="10">
        <v>30</v>
      </c>
      <c r="AI8" s="10">
        <v>31</v>
      </c>
      <c r="AJ8" s="10" t="s">
        <v>114</v>
      </c>
      <c r="AK8" s="10" t="s">
        <v>115</v>
      </c>
      <c r="AL8" s="10" t="s">
        <v>111</v>
      </c>
      <c r="AM8" s="10" t="s">
        <v>116</v>
      </c>
      <c r="AN8" s="10" t="s">
        <v>117</v>
      </c>
      <c r="AO8" s="10" t="s">
        <v>118</v>
      </c>
      <c r="AP8" s="10" t="s">
        <v>119</v>
      </c>
    </row>
    <row r="9" spans="1:42" ht="21.95" customHeight="1" x14ac:dyDescent="0.25">
      <c r="E9" s="11" t="str">
        <f>IF(E$8="","",TEXT(DATE(Einstellungen!$B$8,MATCH(Einstellungen!$B$7,Einstellungen!$R$15:$R$26,0),E$8),"[$-de-DE]ddd"))</f>
        <v>Do</v>
      </c>
      <c r="F9" s="11" t="str">
        <f>IF(F$8="","",TEXT(DATE(Einstellungen!$B$8,MATCH(Einstellungen!$B$7,Einstellungen!$R$15:$R$26,0),F$8),"[$-de-DE]ddd"))</f>
        <v>Fr</v>
      </c>
      <c r="G9" s="11" t="str">
        <f>IF(G$8="","",TEXT(DATE(Einstellungen!$B$8,MATCH(Einstellungen!$B$7,Einstellungen!$R$15:$R$26,0),G$8),"[$-de-DE]ddd"))</f>
        <v>Sa</v>
      </c>
      <c r="H9" s="11" t="str">
        <f>IF(H$8="","",TEXT(DATE(Einstellungen!$B$8,MATCH(Einstellungen!$B$7,Einstellungen!$R$15:$R$26,0),H$8),"[$-de-DE]ddd"))</f>
        <v>So</v>
      </c>
      <c r="I9" s="11" t="str">
        <f>IF(I$8="","",TEXT(DATE(Einstellungen!$B$8,MATCH(Einstellungen!$B$7,Einstellungen!$R$15:$R$26,0),I$8),"[$-de-DE]ddd"))</f>
        <v>Mo</v>
      </c>
      <c r="J9" s="11" t="str">
        <f>IF(J$8="","",TEXT(DATE(Einstellungen!$B$8,MATCH(Einstellungen!$B$7,Einstellungen!$R$15:$R$26,0),J$8),"[$-de-DE]ddd"))</f>
        <v>Di</v>
      </c>
      <c r="K9" s="11" t="str">
        <f>IF(K$8="","",TEXT(DATE(Einstellungen!$B$8,MATCH(Einstellungen!$B$7,Einstellungen!$R$15:$R$26,0),K$8),"[$-de-DE]ddd"))</f>
        <v>Mi</v>
      </c>
      <c r="L9" s="11" t="str">
        <f>IF(L$8="","",TEXT(DATE(Einstellungen!$B$8,MATCH(Einstellungen!$B$7,Einstellungen!$R$15:$R$26,0),L$8),"[$-de-DE]ddd"))</f>
        <v>Do</v>
      </c>
      <c r="M9" s="11" t="str">
        <f>IF(M$8="","",TEXT(DATE(Einstellungen!$B$8,MATCH(Einstellungen!$B$7,Einstellungen!$R$15:$R$26,0),M$8),"[$-de-DE]ddd"))</f>
        <v>Fr</v>
      </c>
      <c r="N9" s="11" t="str">
        <f>IF(N$8="","",TEXT(DATE(Einstellungen!$B$8,MATCH(Einstellungen!$B$7,Einstellungen!$R$15:$R$26,0),N$8),"[$-de-DE]ddd"))</f>
        <v>Sa</v>
      </c>
      <c r="O9" s="11" t="str">
        <f>IF(O$8="","",TEXT(DATE(Einstellungen!$B$8,MATCH(Einstellungen!$B$7,Einstellungen!$R$15:$R$26,0),O$8),"[$-de-DE]ddd"))</f>
        <v>So</v>
      </c>
      <c r="P9" s="11" t="str">
        <f>IF(P$8="","",TEXT(DATE(Einstellungen!$B$8,MATCH(Einstellungen!$B$7,Einstellungen!$R$15:$R$26,0),P$8),"[$-de-DE]ddd"))</f>
        <v>Mo</v>
      </c>
      <c r="Q9" s="11" t="str">
        <f>IF(Q$8="","",TEXT(DATE(Einstellungen!$B$8,MATCH(Einstellungen!$B$7,Einstellungen!$R$15:$R$26,0),Q$8),"[$-de-DE]ddd"))</f>
        <v>Di</v>
      </c>
      <c r="R9" s="11" t="str">
        <f>IF(R$8="","",TEXT(DATE(Einstellungen!$B$8,MATCH(Einstellungen!$B$7,Einstellungen!$R$15:$R$26,0),R$8),"[$-de-DE]ddd"))</f>
        <v>Mi</v>
      </c>
      <c r="S9" s="11" t="str">
        <f>IF(S$8="","",TEXT(DATE(Einstellungen!$B$8,MATCH(Einstellungen!$B$7,Einstellungen!$R$15:$R$26,0),S$8),"[$-de-DE]ddd"))</f>
        <v>Do</v>
      </c>
      <c r="T9" s="11" t="str">
        <f>IF(T$8="","",TEXT(DATE(Einstellungen!$B$8,MATCH(Einstellungen!$B$7,Einstellungen!$R$15:$R$26,0),T$8),"[$-de-DE]ddd"))</f>
        <v>Fr</v>
      </c>
      <c r="U9" s="11" t="str">
        <f>IF(U$8="","",TEXT(DATE(Einstellungen!$B$8,MATCH(Einstellungen!$B$7,Einstellungen!$R$15:$R$26,0),U$8),"[$-de-DE]ddd"))</f>
        <v>Sa</v>
      </c>
      <c r="V9" s="11" t="str">
        <f>IF(V$8="","",TEXT(DATE(Einstellungen!$B$8,MATCH(Einstellungen!$B$7,Einstellungen!$R$15:$R$26,0),V$8),"[$-de-DE]ddd"))</f>
        <v>So</v>
      </c>
      <c r="W9" s="11" t="str">
        <f>IF(W$8="","",TEXT(DATE(Einstellungen!$B$8,MATCH(Einstellungen!$B$7,Einstellungen!$R$15:$R$26,0),W$8),"[$-de-DE]ddd"))</f>
        <v>Mo</v>
      </c>
      <c r="X9" s="11" t="str">
        <f>IF(X$8="","",TEXT(DATE(Einstellungen!$B$8,MATCH(Einstellungen!$B$7,Einstellungen!$R$15:$R$26,0),X$8),"[$-de-DE]ddd"))</f>
        <v>Di</v>
      </c>
      <c r="Y9" s="11" t="str">
        <f>IF(Y$8="","",TEXT(DATE(Einstellungen!$B$8,MATCH(Einstellungen!$B$7,Einstellungen!$R$15:$R$26,0),Y$8),"[$-de-DE]ddd"))</f>
        <v>Mi</v>
      </c>
      <c r="Z9" s="11" t="str">
        <f>IF(Z$8="","",TEXT(DATE(Einstellungen!$B$8,MATCH(Einstellungen!$B$7,Einstellungen!$R$15:$R$26,0),Z$8),"[$-de-DE]ddd"))</f>
        <v>Do</v>
      </c>
      <c r="AA9" s="11" t="str">
        <f>IF(AA$8="","",TEXT(DATE(Einstellungen!$B$8,MATCH(Einstellungen!$B$7,Einstellungen!$R$15:$R$26,0),AA$8),"[$-de-DE]ddd"))</f>
        <v>Fr</v>
      </c>
      <c r="AB9" s="11" t="str">
        <f>IF(AB$8="","",TEXT(DATE(Einstellungen!$B$8,MATCH(Einstellungen!$B$7,Einstellungen!$R$15:$R$26,0),AB$8),"[$-de-DE]ddd"))</f>
        <v>Sa</v>
      </c>
      <c r="AC9" s="11" t="str">
        <f>IF(AC$8="","",TEXT(DATE(Einstellungen!$B$8,MATCH(Einstellungen!$B$7,Einstellungen!$R$15:$R$26,0),AC$8),"[$-de-DE]ddd"))</f>
        <v>So</v>
      </c>
      <c r="AD9" s="11" t="str">
        <f>IF(AD$8="","",TEXT(DATE(Einstellungen!$B$8,MATCH(Einstellungen!$B$7,Einstellungen!$R$15:$R$26,0),AD$8),"[$-de-DE]ddd"))</f>
        <v>Mo</v>
      </c>
      <c r="AE9" s="11" t="str">
        <f>IF(AE$8="","",TEXT(DATE(Einstellungen!$B$8,MATCH(Einstellungen!$B$7,Einstellungen!$R$15:$R$26,0),AE$8),"[$-de-DE]ddd"))</f>
        <v>Di</v>
      </c>
      <c r="AF9" s="11" t="str">
        <f>IF(AF$8="","",TEXT(DATE(Einstellungen!$B$8,MATCH(Einstellungen!$B$7,Einstellungen!$R$15:$R$26,0),AF$8),"[$-de-DE]ddd"))</f>
        <v>Mi</v>
      </c>
      <c r="AG9" s="11" t="str">
        <f>IF(AG$8="","",TEXT(DATE(Einstellungen!$B$8,MATCH(Einstellungen!$B$7,Einstellungen!$R$15:$R$26,0),AG$8),"[$-de-DE]ddd"))</f>
        <v>Do</v>
      </c>
      <c r="AH9" s="11" t="str">
        <f>IF(AH$8="","",TEXT(DATE(Einstellungen!$B$8,MATCH(Einstellungen!$B$7,Einstellungen!$R$15:$R$26,0),AH$8),"[$-de-DE]ddd"))</f>
        <v>Fr</v>
      </c>
      <c r="AI9" s="11" t="str">
        <f>IF(AI$8="","",TEXT(DATE(Einstellungen!$B$8,MATCH(Einstellungen!$B$7,Einstellungen!$R$15:$R$26,0),AI$8),"[$-de-DE]ddd"))</f>
        <v>Sa</v>
      </c>
    </row>
    <row r="10" spans="1:42" ht="20.100000000000001" customHeight="1" x14ac:dyDescent="0.25">
      <c r="A10" s="4" t="str">
        <f>IF(Einstellungen!$G16="Ja",Einstellungen!$A16,"")</f>
        <v>M001</v>
      </c>
      <c r="B10" s="4" t="str">
        <f>IF($A10="","",Einstellungen!$B16)</f>
        <v>Max Müller</v>
      </c>
      <c r="C10" s="4" t="str">
        <f>IF($A10="","",Einstellungen!$C16)</f>
        <v>Verkauf</v>
      </c>
      <c r="D10" s="4">
        <f>IF($A10="","",Einstellungen!$E16)</f>
        <v>40</v>
      </c>
      <c r="E10" s="12" t="s">
        <v>39</v>
      </c>
      <c r="F10" s="12" t="s">
        <v>39</v>
      </c>
      <c r="G10" s="12" t="s">
        <v>39</v>
      </c>
      <c r="H10" s="12" t="s">
        <v>39</v>
      </c>
      <c r="I10" s="12" t="s">
        <v>39</v>
      </c>
      <c r="J10" s="12" t="s">
        <v>69</v>
      </c>
      <c r="K10" s="12" t="s">
        <v>69</v>
      </c>
      <c r="L10" s="12" t="s">
        <v>39</v>
      </c>
      <c r="M10" s="12" t="s">
        <v>39</v>
      </c>
      <c r="N10" s="12" t="s">
        <v>39</v>
      </c>
      <c r="O10" s="12" t="s">
        <v>39</v>
      </c>
      <c r="P10" s="12" t="s">
        <v>39</v>
      </c>
      <c r="Q10" s="12" t="s">
        <v>78</v>
      </c>
      <c r="R10" s="12" t="s">
        <v>78</v>
      </c>
      <c r="S10" s="12" t="s">
        <v>78</v>
      </c>
      <c r="T10" s="12" t="s">
        <v>39</v>
      </c>
      <c r="U10" s="12" t="s">
        <v>39</v>
      </c>
      <c r="V10" s="12" t="s">
        <v>69</v>
      </c>
      <c r="W10" s="12" t="s">
        <v>69</v>
      </c>
      <c r="X10" s="12" t="s">
        <v>39</v>
      </c>
      <c r="Y10" s="12" t="s">
        <v>39</v>
      </c>
      <c r="Z10" s="12" t="s">
        <v>39</v>
      </c>
      <c r="AA10" s="12" t="s">
        <v>39</v>
      </c>
      <c r="AB10" s="12" t="s">
        <v>39</v>
      </c>
      <c r="AC10" s="12" t="s">
        <v>69</v>
      </c>
      <c r="AD10" s="12" t="s">
        <v>69</v>
      </c>
      <c r="AE10" s="12" t="s">
        <v>39</v>
      </c>
      <c r="AF10" s="12" t="s">
        <v>39</v>
      </c>
      <c r="AG10" s="12" t="s">
        <v>39</v>
      </c>
      <c r="AH10" s="12" t="s">
        <v>39</v>
      </c>
      <c r="AI10" s="12" t="s">
        <v>39</v>
      </c>
      <c r="AJ10" s="13">
        <f>IF($A10="","",D10/5*NETWORKDAYS(DATE(Einstellungen!$B$8,MATCH(Einstellungen!$B$7,Einstellungen!$R$15:$R$26,0),1),EOMONTH(DATE(Einstellungen!$B$8,MATCH(Einstellungen!$B$7,Einstellungen!$R$15:$R$26,0),1),0)))</f>
        <v>176</v>
      </c>
      <c r="AK10" s="13">
        <f>IF($A10="","",COUNTIF(E10:AI10,"F")*Einstellungen!$O$16+COUNTIF(E10:AI10,"S")*Einstellungen!$O$17+COUNTIF(E10:AI10,"N")*Einstellungen!$O$18+COUNTIF(E10:AI10,"T")*Einstellungen!$O$19)</f>
        <v>165.00000000000003</v>
      </c>
      <c r="AL10" s="13">
        <f t="shared" ref="AL10:AL21" si="0">IF($A10="","",COUNTIF(E10:AI10,"U"))</f>
        <v>3</v>
      </c>
      <c r="AM10" s="13">
        <f t="shared" ref="AM10:AM21" si="1">IF($A10="","",COUNTIF(E10:AI10,"K"))</f>
        <v>0</v>
      </c>
      <c r="AN10" s="13">
        <f t="shared" ref="AN10:AN21" si="2">IF($A10="","",AK10-AJ10)</f>
        <v>-10.999999999999972</v>
      </c>
      <c r="AO10" s="14">
        <f>IF($A10="","",AK10*IFERROR(VLOOKUP($A10,Einstellungen!$A$16:$F$27,6,FALSE),0))</f>
        <v>3052.5000000000005</v>
      </c>
      <c r="AP10" s="4" t="str">
        <f t="shared" ref="AP10:AP21" si="3">IF($A10="","",IF(AN10&gt;2,"Überplant",IF(AN10&lt;-2,"Unterplant","OK")))</f>
        <v>Unterplant</v>
      </c>
    </row>
    <row r="11" spans="1:42" ht="20.100000000000001" customHeight="1" x14ac:dyDescent="0.25">
      <c r="A11" s="4" t="str">
        <f>IF(Einstellungen!$G17="Ja",Einstellungen!$A17,"")</f>
        <v>M002</v>
      </c>
      <c r="B11" s="4" t="str">
        <f>IF($A11="","",Einstellungen!$B17)</f>
        <v>Anna Schmidt</v>
      </c>
      <c r="C11" s="4" t="str">
        <f>IF($A11="","",Einstellungen!$C17)</f>
        <v>Verkauf</v>
      </c>
      <c r="D11" s="4">
        <f>IF($A11="","",Einstellungen!$E17)</f>
        <v>38</v>
      </c>
      <c r="E11" s="12" t="s">
        <v>50</v>
      </c>
      <c r="F11" s="12" t="s">
        <v>50</v>
      </c>
      <c r="G11" s="12" t="s">
        <v>50</v>
      </c>
      <c r="H11" s="12" t="s">
        <v>50</v>
      </c>
      <c r="I11" s="12" t="s">
        <v>50</v>
      </c>
      <c r="J11" s="12" t="s">
        <v>69</v>
      </c>
      <c r="K11" s="12" t="s">
        <v>69</v>
      </c>
      <c r="L11" s="12" t="s">
        <v>50</v>
      </c>
      <c r="M11" s="12" t="s">
        <v>50</v>
      </c>
      <c r="N11" s="12" t="s">
        <v>50</v>
      </c>
      <c r="O11" s="12" t="s">
        <v>50</v>
      </c>
      <c r="P11" s="12" t="s">
        <v>50</v>
      </c>
      <c r="Q11" s="12" t="s">
        <v>70</v>
      </c>
      <c r="R11" s="12" t="s">
        <v>70</v>
      </c>
      <c r="S11" s="12" t="s">
        <v>69</v>
      </c>
      <c r="T11" s="12" t="s">
        <v>69</v>
      </c>
      <c r="U11" s="12" t="s">
        <v>50</v>
      </c>
      <c r="V11" s="12" t="s">
        <v>50</v>
      </c>
      <c r="W11" s="12" t="s">
        <v>50</v>
      </c>
      <c r="X11" s="12" t="s">
        <v>50</v>
      </c>
      <c r="Y11" s="12" t="s">
        <v>50</v>
      </c>
      <c r="Z11" s="12" t="s">
        <v>69</v>
      </c>
      <c r="AA11" s="12" t="s">
        <v>69</v>
      </c>
      <c r="AB11" s="12" t="s">
        <v>50</v>
      </c>
      <c r="AC11" s="12" t="s">
        <v>50</v>
      </c>
      <c r="AD11" s="12" t="s">
        <v>50</v>
      </c>
      <c r="AE11" s="12" t="s">
        <v>50</v>
      </c>
      <c r="AF11" s="12" t="s">
        <v>50</v>
      </c>
      <c r="AG11" s="12" t="s">
        <v>69</v>
      </c>
      <c r="AH11" s="12" t="s">
        <v>69</v>
      </c>
      <c r="AI11" s="12" t="s">
        <v>50</v>
      </c>
      <c r="AJ11" s="13">
        <f>IF($A11="","",D11/5*NETWORKDAYS(DATE(Einstellungen!$B$8,MATCH(Einstellungen!$B$7,Einstellungen!$R$15:$R$26,0),1),EOMONTH(DATE(Einstellungen!$B$8,MATCH(Einstellungen!$B$7,Einstellungen!$R$15:$R$26,0),1),0)))</f>
        <v>167.2</v>
      </c>
      <c r="AK11" s="13">
        <f>IF($A11="","",COUNTIF(E11:AI11,"F")*Einstellungen!$O$16+COUNTIF(E11:AI11,"S")*Einstellungen!$O$17+COUNTIF(E11:AI11,"N")*Einstellungen!$O$18+COUNTIF(E11:AI11,"T")*Einstellungen!$O$19)</f>
        <v>172.49999999999997</v>
      </c>
      <c r="AL11" s="13">
        <f t="shared" si="0"/>
        <v>0</v>
      </c>
      <c r="AM11" s="13">
        <f t="shared" si="1"/>
        <v>0</v>
      </c>
      <c r="AN11" s="13">
        <f t="shared" si="2"/>
        <v>5.2999999999999829</v>
      </c>
      <c r="AO11" s="14">
        <f>IF($A11="","",AK11*IFERROR(VLOOKUP($A11,Einstellungen!$A$16:$F$27,6,FALSE),0))</f>
        <v>3794.9999999999995</v>
      </c>
      <c r="AP11" s="4" t="str">
        <f t="shared" si="3"/>
        <v>Überplant</v>
      </c>
    </row>
    <row r="12" spans="1:42" ht="20.100000000000001" customHeight="1" x14ac:dyDescent="0.25">
      <c r="A12" s="4" t="str">
        <f>IF(Einstellungen!$G18="Ja",Einstellungen!$A18,"")</f>
        <v>M003</v>
      </c>
      <c r="B12" s="4" t="str">
        <f>IF($A12="","",Einstellungen!$B18)</f>
        <v>Peter Meier</v>
      </c>
      <c r="C12" s="4" t="str">
        <f>IF($A12="","",Einstellungen!$C18)</f>
        <v>Lager</v>
      </c>
      <c r="D12" s="4">
        <f>IF($A12="","",Einstellungen!$E18)</f>
        <v>40</v>
      </c>
      <c r="E12" s="12" t="s">
        <v>39</v>
      </c>
      <c r="F12" s="12" t="s">
        <v>39</v>
      </c>
      <c r="G12" s="12" t="s">
        <v>70</v>
      </c>
      <c r="H12" s="12" t="s">
        <v>70</v>
      </c>
      <c r="I12" s="12" t="s">
        <v>70</v>
      </c>
      <c r="J12" s="12" t="s">
        <v>69</v>
      </c>
      <c r="K12" s="12" t="s">
        <v>69</v>
      </c>
      <c r="L12" s="12" t="s">
        <v>39</v>
      </c>
      <c r="M12" s="12" t="s">
        <v>39</v>
      </c>
      <c r="N12" s="12" t="s">
        <v>70</v>
      </c>
      <c r="O12" s="12" t="s">
        <v>70</v>
      </c>
      <c r="P12" s="12" t="s">
        <v>70</v>
      </c>
      <c r="Q12" s="12" t="s">
        <v>69</v>
      </c>
      <c r="R12" s="12" t="s">
        <v>69</v>
      </c>
      <c r="S12" s="12" t="s">
        <v>39</v>
      </c>
      <c r="T12" s="12" t="s">
        <v>39</v>
      </c>
      <c r="U12" s="12" t="s">
        <v>70</v>
      </c>
      <c r="V12" s="12" t="s">
        <v>70</v>
      </c>
      <c r="W12" s="12" t="s">
        <v>70</v>
      </c>
      <c r="X12" s="12" t="s">
        <v>69</v>
      </c>
      <c r="Y12" s="12" t="s">
        <v>69</v>
      </c>
      <c r="Z12" s="12" t="s">
        <v>39</v>
      </c>
      <c r="AA12" s="12" t="s">
        <v>39</v>
      </c>
      <c r="AB12" s="12" t="s">
        <v>70</v>
      </c>
      <c r="AC12" s="12" t="s">
        <v>70</v>
      </c>
      <c r="AD12" s="12" t="s">
        <v>70</v>
      </c>
      <c r="AE12" s="12" t="s">
        <v>69</v>
      </c>
      <c r="AF12" s="12" t="s">
        <v>69</v>
      </c>
      <c r="AG12" s="12" t="s">
        <v>39</v>
      </c>
      <c r="AH12" s="12" t="s">
        <v>39</v>
      </c>
      <c r="AI12" s="12" t="s">
        <v>70</v>
      </c>
      <c r="AJ12" s="13">
        <f>IF($A12="","",D12/5*NETWORKDAYS(DATE(Einstellungen!$B$8,MATCH(Einstellungen!$B$7,Einstellungen!$R$15:$R$26,0),1),EOMONTH(DATE(Einstellungen!$B$8,MATCH(Einstellungen!$B$7,Einstellungen!$R$15:$R$26,0),1),0)))</f>
        <v>176</v>
      </c>
      <c r="AK12" s="13">
        <f>IF($A12="","",COUNTIF(E12:AI12,"F")*Einstellungen!$O$16+COUNTIF(E12:AI12,"S")*Einstellungen!$O$17+COUNTIF(E12:AI12,"N")*Einstellungen!$O$18+COUNTIF(E12:AI12,"T")*Einstellungen!$O$19)</f>
        <v>172.50000000000006</v>
      </c>
      <c r="AL12" s="13">
        <f t="shared" si="0"/>
        <v>0</v>
      </c>
      <c r="AM12" s="13">
        <f t="shared" si="1"/>
        <v>0</v>
      </c>
      <c r="AN12" s="13">
        <f t="shared" si="2"/>
        <v>-3.4999999999999432</v>
      </c>
      <c r="AO12" s="14">
        <f>IF($A12="","",AK12*IFERROR(VLOOKUP($A12,Einstellungen!$A$16:$F$27,6,FALSE),0))</f>
        <v>3070.5000000000009</v>
      </c>
      <c r="AP12" s="4" t="str">
        <f t="shared" si="3"/>
        <v>Unterplant</v>
      </c>
    </row>
    <row r="13" spans="1:42" ht="20.100000000000001" customHeight="1" x14ac:dyDescent="0.25">
      <c r="A13" s="4" t="str">
        <f>IF(Einstellungen!$G19="Ja",Einstellungen!$A19,"")</f>
        <v>M004</v>
      </c>
      <c r="B13" s="4" t="str">
        <f>IF($A13="","",Einstellungen!$B19)</f>
        <v>Laura Becker</v>
      </c>
      <c r="C13" s="4" t="str">
        <f>IF($A13="","",Einstellungen!$C19)</f>
        <v>Service</v>
      </c>
      <c r="D13" s="4">
        <f>IF($A13="","",Einstellungen!$E19)</f>
        <v>30</v>
      </c>
      <c r="E13" s="12" t="s">
        <v>70</v>
      </c>
      <c r="F13" s="12" t="s">
        <v>70</v>
      </c>
      <c r="G13" s="12" t="s">
        <v>70</v>
      </c>
      <c r="H13" s="12" t="s">
        <v>69</v>
      </c>
      <c r="I13" s="12" t="s">
        <v>69</v>
      </c>
      <c r="J13" s="12" t="s">
        <v>50</v>
      </c>
      <c r="K13" s="12" t="s">
        <v>50</v>
      </c>
      <c r="L13" s="12" t="s">
        <v>70</v>
      </c>
      <c r="M13" s="12" t="s">
        <v>70</v>
      </c>
      <c r="N13" s="12" t="s">
        <v>70</v>
      </c>
      <c r="O13" s="12" t="s">
        <v>82</v>
      </c>
      <c r="P13" s="12" t="s">
        <v>70</v>
      </c>
      <c r="Q13" s="12" t="s">
        <v>69</v>
      </c>
      <c r="R13" s="12" t="s">
        <v>69</v>
      </c>
      <c r="S13" s="12" t="s">
        <v>50</v>
      </c>
      <c r="T13" s="12" t="s">
        <v>50</v>
      </c>
      <c r="U13" s="12" t="s">
        <v>70</v>
      </c>
      <c r="V13" s="12" t="s">
        <v>70</v>
      </c>
      <c r="W13" s="12" t="s">
        <v>70</v>
      </c>
      <c r="X13" s="12" t="s">
        <v>82</v>
      </c>
      <c r="Y13" s="12" t="s">
        <v>69</v>
      </c>
      <c r="Z13" s="12" t="s">
        <v>69</v>
      </c>
      <c r="AA13" s="12" t="s">
        <v>50</v>
      </c>
      <c r="AB13" s="12" t="s">
        <v>50</v>
      </c>
      <c r="AC13" s="12" t="s">
        <v>70</v>
      </c>
      <c r="AD13" s="12" t="s">
        <v>70</v>
      </c>
      <c r="AE13" s="12" t="s">
        <v>70</v>
      </c>
      <c r="AF13" s="12" t="s">
        <v>69</v>
      </c>
      <c r="AG13" s="12" t="s">
        <v>69</v>
      </c>
      <c r="AH13" s="12" t="s">
        <v>50</v>
      </c>
      <c r="AI13" s="12" t="s">
        <v>50</v>
      </c>
      <c r="AJ13" s="13">
        <f>IF($A13="","",D13/5*NETWORKDAYS(DATE(Einstellungen!$B$8,MATCH(Einstellungen!$B$7,Einstellungen!$R$15:$R$26,0),1),EOMONTH(DATE(Einstellungen!$B$8,MATCH(Einstellungen!$B$7,Einstellungen!$R$15:$R$26,0),1),0)))</f>
        <v>132</v>
      </c>
      <c r="AK13" s="13">
        <f>IF($A13="","",COUNTIF(E13:AI13,"F")*Einstellungen!$O$16+COUNTIF(E13:AI13,"S")*Einstellungen!$O$17+COUNTIF(E13:AI13,"N")*Einstellungen!$O$18+COUNTIF(E13:AI13,"T")*Einstellungen!$O$19)</f>
        <v>157.5</v>
      </c>
      <c r="AL13" s="13">
        <f t="shared" si="0"/>
        <v>0</v>
      </c>
      <c r="AM13" s="13">
        <f t="shared" si="1"/>
        <v>2</v>
      </c>
      <c r="AN13" s="13">
        <f t="shared" si="2"/>
        <v>25.5</v>
      </c>
      <c r="AO13" s="14">
        <f>IF($A13="","",AK13*IFERROR(VLOOKUP($A13,Einstellungen!$A$16:$F$27,6,FALSE),0))</f>
        <v>3024</v>
      </c>
      <c r="AP13" s="4" t="str">
        <f t="shared" si="3"/>
        <v>Überplant</v>
      </c>
    </row>
    <row r="14" spans="1:42" ht="20.100000000000001" customHeight="1" x14ac:dyDescent="0.25">
      <c r="A14" s="4" t="str">
        <f>IF(Einstellungen!$G20="Ja",Einstellungen!$A20,"")</f>
        <v>M005</v>
      </c>
      <c r="B14" s="4" t="str">
        <f>IF($A14="","",Einstellungen!$B20)</f>
        <v>Thomas Wagner</v>
      </c>
      <c r="C14" s="4" t="str">
        <f>IF($A14="","",Einstellungen!$C20)</f>
        <v>Verkauf</v>
      </c>
      <c r="D14" s="4">
        <f>IF($A14="","",Einstellungen!$E20)</f>
        <v>25</v>
      </c>
      <c r="E14" s="12" t="s">
        <v>50</v>
      </c>
      <c r="F14" s="12" t="s">
        <v>50</v>
      </c>
      <c r="G14" s="12" t="s">
        <v>69</v>
      </c>
      <c r="H14" s="12" t="s">
        <v>69</v>
      </c>
      <c r="I14" s="12" t="s">
        <v>50</v>
      </c>
      <c r="J14" s="12" t="s">
        <v>50</v>
      </c>
      <c r="K14" s="12" t="s">
        <v>50</v>
      </c>
      <c r="L14" s="12" t="s">
        <v>69</v>
      </c>
      <c r="M14" s="12" t="s">
        <v>69</v>
      </c>
      <c r="N14" s="12" t="s">
        <v>50</v>
      </c>
      <c r="O14" s="12" t="s">
        <v>50</v>
      </c>
      <c r="P14" s="12" t="s">
        <v>50</v>
      </c>
      <c r="Q14" s="12" t="s">
        <v>69</v>
      </c>
      <c r="R14" s="12" t="s">
        <v>69</v>
      </c>
      <c r="S14" s="12" t="s">
        <v>50</v>
      </c>
      <c r="T14" s="12" t="s">
        <v>50</v>
      </c>
      <c r="U14" s="12" t="s">
        <v>50</v>
      </c>
      <c r="V14" s="12" t="s">
        <v>69</v>
      </c>
      <c r="W14" s="12" t="s">
        <v>69</v>
      </c>
      <c r="X14" s="12" t="s">
        <v>50</v>
      </c>
      <c r="Y14" s="12" t="s">
        <v>50</v>
      </c>
      <c r="Z14" s="12" t="s">
        <v>50</v>
      </c>
      <c r="AA14" s="12" t="s">
        <v>69</v>
      </c>
      <c r="AB14" s="12" t="s">
        <v>69</v>
      </c>
      <c r="AC14" s="12" t="s">
        <v>50</v>
      </c>
      <c r="AD14" s="12" t="s">
        <v>78</v>
      </c>
      <c r="AE14" s="12" t="s">
        <v>78</v>
      </c>
      <c r="AF14" s="12" t="s">
        <v>50</v>
      </c>
      <c r="AG14" s="12" t="s">
        <v>50</v>
      </c>
      <c r="AH14" s="12" t="s">
        <v>69</v>
      </c>
      <c r="AI14" s="12" t="s">
        <v>69</v>
      </c>
      <c r="AJ14" s="13">
        <f>IF($A14="","",D14/5*NETWORKDAYS(DATE(Einstellungen!$B$8,MATCH(Einstellungen!$B$7,Einstellungen!$R$15:$R$26,0),1),EOMONTH(DATE(Einstellungen!$B$8,MATCH(Einstellungen!$B$7,Einstellungen!$R$15:$R$26,0),1),0)))</f>
        <v>110</v>
      </c>
      <c r="AK14" s="13">
        <f>IF($A14="","",COUNTIF(E14:AI14,"F")*Einstellungen!$O$16+COUNTIF(E14:AI14,"S")*Einstellungen!$O$17+COUNTIF(E14:AI14,"N")*Einstellungen!$O$18+COUNTIF(E14:AI14,"T")*Einstellungen!$O$19)</f>
        <v>127.49999999999997</v>
      </c>
      <c r="AL14" s="13">
        <f t="shared" si="0"/>
        <v>2</v>
      </c>
      <c r="AM14" s="13">
        <f t="shared" si="1"/>
        <v>0</v>
      </c>
      <c r="AN14" s="13">
        <f t="shared" si="2"/>
        <v>17.499999999999972</v>
      </c>
      <c r="AO14" s="14">
        <f>IF($A14="","",AK14*IFERROR(VLOOKUP($A14,Einstellungen!$A$16:$F$27,6,FALSE),0))</f>
        <v>2154.7499999999995</v>
      </c>
      <c r="AP14" s="4" t="str">
        <f t="shared" si="3"/>
        <v>Überplant</v>
      </c>
    </row>
    <row r="15" spans="1:42" ht="20.100000000000001" customHeight="1" x14ac:dyDescent="0.25">
      <c r="A15" s="4" t="str">
        <f>IF(Einstellungen!$G21="Ja",Einstellungen!$A21,"")</f>
        <v>M006</v>
      </c>
      <c r="B15" s="4" t="str">
        <f>IF($A15="","",Einstellungen!$B21)</f>
        <v>Julia Fischer</v>
      </c>
      <c r="C15" s="4" t="str">
        <f>IF($A15="","",Einstellungen!$C21)</f>
        <v>Service</v>
      </c>
      <c r="D15" s="4">
        <f>IF($A15="","",Einstellungen!$E21)</f>
        <v>35</v>
      </c>
      <c r="E15" s="12" t="s">
        <v>70</v>
      </c>
      <c r="F15" s="12" t="s">
        <v>70</v>
      </c>
      <c r="G15" s="12" t="s">
        <v>50</v>
      </c>
      <c r="H15" s="12" t="s">
        <v>50</v>
      </c>
      <c r="I15" s="12" t="s">
        <v>69</v>
      </c>
      <c r="J15" s="12" t="s">
        <v>69</v>
      </c>
      <c r="K15" s="12" t="s">
        <v>70</v>
      </c>
      <c r="L15" s="12" t="s">
        <v>70</v>
      </c>
      <c r="M15" s="12" t="s">
        <v>50</v>
      </c>
      <c r="N15" s="12" t="s">
        <v>50</v>
      </c>
      <c r="O15" s="12" t="s">
        <v>69</v>
      </c>
      <c r="P15" s="12" t="s">
        <v>69</v>
      </c>
      <c r="Q15" s="12" t="s">
        <v>70</v>
      </c>
      <c r="R15" s="12" t="s">
        <v>70</v>
      </c>
      <c r="S15" s="12" t="s">
        <v>50</v>
      </c>
      <c r="T15" s="12" t="s">
        <v>50</v>
      </c>
      <c r="U15" s="12" t="s">
        <v>69</v>
      </c>
      <c r="V15" s="12" t="s">
        <v>69</v>
      </c>
      <c r="W15" s="12" t="s">
        <v>70</v>
      </c>
      <c r="X15" s="12" t="s">
        <v>70</v>
      </c>
      <c r="Y15" s="12" t="s">
        <v>50</v>
      </c>
      <c r="Z15" s="12" t="s">
        <v>50</v>
      </c>
      <c r="AA15" s="12" t="s">
        <v>69</v>
      </c>
      <c r="AB15" s="12" t="s">
        <v>69</v>
      </c>
      <c r="AC15" s="12" t="s">
        <v>70</v>
      </c>
      <c r="AD15" s="12" t="s">
        <v>70</v>
      </c>
      <c r="AE15" s="12" t="s">
        <v>50</v>
      </c>
      <c r="AF15" s="12" t="s">
        <v>50</v>
      </c>
      <c r="AG15" s="12" t="s">
        <v>69</v>
      </c>
      <c r="AH15" s="12" t="s">
        <v>69</v>
      </c>
      <c r="AI15" s="12" t="s">
        <v>70</v>
      </c>
      <c r="AJ15" s="13">
        <f>IF($A15="","",D15/5*NETWORKDAYS(DATE(Einstellungen!$B$8,MATCH(Einstellungen!$B$7,Einstellungen!$R$15:$R$26,0),1),EOMONTH(DATE(Einstellungen!$B$8,MATCH(Einstellungen!$B$7,Einstellungen!$R$15:$R$26,0),1),0)))</f>
        <v>154</v>
      </c>
      <c r="AK15" s="13">
        <f>IF($A15="","",COUNTIF(E15:AI15,"F")*Einstellungen!$O$16+COUNTIF(E15:AI15,"S")*Einstellungen!$O$17+COUNTIF(E15:AI15,"N")*Einstellungen!$O$18+COUNTIF(E15:AI15,"T")*Einstellungen!$O$19)</f>
        <v>157.5</v>
      </c>
      <c r="AL15" s="13">
        <f t="shared" si="0"/>
        <v>0</v>
      </c>
      <c r="AM15" s="13">
        <f t="shared" si="1"/>
        <v>0</v>
      </c>
      <c r="AN15" s="13">
        <f t="shared" si="2"/>
        <v>3.5</v>
      </c>
      <c r="AO15" s="14">
        <f>IF($A15="","",AK15*IFERROR(VLOOKUP($A15,Einstellungen!$A$16:$F$27,6,FALSE),0))</f>
        <v>2835</v>
      </c>
      <c r="AP15" s="4" t="str">
        <f t="shared" si="3"/>
        <v>Überplant</v>
      </c>
    </row>
    <row r="16" spans="1:42" ht="20.100000000000001" customHeight="1" x14ac:dyDescent="0.25">
      <c r="A16" s="4" t="str">
        <f>IF(Einstellungen!$G22="Ja",Einstellungen!$A22,"")</f>
        <v>M007</v>
      </c>
      <c r="B16" s="4" t="str">
        <f>IF($A16="","",Einstellungen!$B22)</f>
        <v>Michael Schneider</v>
      </c>
      <c r="C16" s="4" t="str">
        <f>IF($A16="","",Einstellungen!$C22)</f>
        <v>Lager</v>
      </c>
      <c r="D16" s="4">
        <f>IF($A16="","",Einstellungen!$E22)</f>
        <v>40</v>
      </c>
      <c r="E16" s="12" t="s">
        <v>39</v>
      </c>
      <c r="F16" s="12" t="s">
        <v>39</v>
      </c>
      <c r="G16" s="12" t="s">
        <v>39</v>
      </c>
      <c r="H16" s="12" t="s">
        <v>70</v>
      </c>
      <c r="I16" s="12" t="s">
        <v>70</v>
      </c>
      <c r="J16" s="12" t="s">
        <v>69</v>
      </c>
      <c r="K16" s="12" t="s">
        <v>69</v>
      </c>
      <c r="L16" s="12" t="s">
        <v>39</v>
      </c>
      <c r="M16" s="12" t="s">
        <v>39</v>
      </c>
      <c r="N16" s="12" t="s">
        <v>39</v>
      </c>
      <c r="O16" s="12" t="s">
        <v>70</v>
      </c>
      <c r="P16" s="12" t="s">
        <v>70</v>
      </c>
      <c r="Q16" s="12" t="s">
        <v>69</v>
      </c>
      <c r="R16" s="12" t="s">
        <v>69</v>
      </c>
      <c r="S16" s="12" t="s">
        <v>39</v>
      </c>
      <c r="T16" s="12" t="s">
        <v>39</v>
      </c>
      <c r="U16" s="12" t="s">
        <v>39</v>
      </c>
      <c r="V16" s="12" t="s">
        <v>70</v>
      </c>
      <c r="W16" s="12" t="s">
        <v>70</v>
      </c>
      <c r="X16" s="12" t="s">
        <v>69</v>
      </c>
      <c r="Y16" s="12" t="s">
        <v>69</v>
      </c>
      <c r="Z16" s="12" t="s">
        <v>39</v>
      </c>
      <c r="AA16" s="12" t="s">
        <v>39</v>
      </c>
      <c r="AB16" s="12" t="s">
        <v>39</v>
      </c>
      <c r="AC16" s="12" t="s">
        <v>70</v>
      </c>
      <c r="AD16" s="12" t="s">
        <v>70</v>
      </c>
      <c r="AE16" s="12" t="s">
        <v>69</v>
      </c>
      <c r="AF16" s="12" t="s">
        <v>69</v>
      </c>
      <c r="AG16" s="12" t="s">
        <v>39</v>
      </c>
      <c r="AH16" s="12" t="s">
        <v>39</v>
      </c>
      <c r="AI16" s="12" t="s">
        <v>39</v>
      </c>
      <c r="AJ16" s="13">
        <f>IF($A16="","",D16/5*NETWORKDAYS(DATE(Einstellungen!$B$8,MATCH(Einstellungen!$B$7,Einstellungen!$R$15:$R$26,0),1),EOMONTH(DATE(Einstellungen!$B$8,MATCH(Einstellungen!$B$7,Einstellungen!$R$15:$R$26,0),1),0)))</f>
        <v>176</v>
      </c>
      <c r="AK16" s="13">
        <f>IF($A16="","",COUNTIF(E16:AI16,"F")*Einstellungen!$O$16+COUNTIF(E16:AI16,"S")*Einstellungen!$O$17+COUNTIF(E16:AI16,"N")*Einstellungen!$O$18+COUNTIF(E16:AI16,"T")*Einstellungen!$O$19)</f>
        <v>172.50000000000006</v>
      </c>
      <c r="AL16" s="13">
        <f t="shared" si="0"/>
        <v>0</v>
      </c>
      <c r="AM16" s="13">
        <f t="shared" si="1"/>
        <v>0</v>
      </c>
      <c r="AN16" s="13">
        <f t="shared" si="2"/>
        <v>-3.4999999999999432</v>
      </c>
      <c r="AO16" s="14">
        <f>IF($A16="","",AK16*IFERROR(VLOOKUP($A16,Einstellungen!$A$16:$F$27,6,FALSE),0))</f>
        <v>3156.7500000000014</v>
      </c>
      <c r="AP16" s="4" t="str">
        <f t="shared" si="3"/>
        <v>Unterplant</v>
      </c>
    </row>
    <row r="17" spans="1:42" ht="20.100000000000001" customHeight="1" x14ac:dyDescent="0.25">
      <c r="A17" s="4" t="str">
        <f>IF(Einstellungen!$G23="Ja",Einstellungen!$A23,"")</f>
        <v>M008</v>
      </c>
      <c r="B17" s="4" t="str">
        <f>IF($A17="","",Einstellungen!$B23)</f>
        <v>Sophie Klein</v>
      </c>
      <c r="C17" s="4" t="str">
        <f>IF($A17="","",Einstellungen!$C23)</f>
        <v>Verwaltung</v>
      </c>
      <c r="D17" s="4">
        <f>IF($A17="","",Einstellungen!$E23)</f>
        <v>20</v>
      </c>
      <c r="E17" s="12" t="s">
        <v>70</v>
      </c>
      <c r="F17" s="12" t="s">
        <v>70</v>
      </c>
      <c r="G17" s="12" t="s">
        <v>70</v>
      </c>
      <c r="H17" s="12" t="s">
        <v>70</v>
      </c>
      <c r="I17" s="12" t="s">
        <v>69</v>
      </c>
      <c r="J17" s="12" t="s">
        <v>69</v>
      </c>
      <c r="K17" s="12" t="s">
        <v>69</v>
      </c>
      <c r="L17" s="12" t="s">
        <v>70</v>
      </c>
      <c r="M17" s="12" t="s">
        <v>70</v>
      </c>
      <c r="N17" s="12" t="s">
        <v>70</v>
      </c>
      <c r="O17" s="12" t="s">
        <v>70</v>
      </c>
      <c r="P17" s="12" t="s">
        <v>69</v>
      </c>
      <c r="Q17" s="12" t="s">
        <v>69</v>
      </c>
      <c r="R17" s="12" t="s">
        <v>69</v>
      </c>
      <c r="S17" s="12" t="s">
        <v>70</v>
      </c>
      <c r="T17" s="12" t="s">
        <v>70</v>
      </c>
      <c r="U17" s="12" t="s">
        <v>70</v>
      </c>
      <c r="V17" s="12" t="s">
        <v>70</v>
      </c>
      <c r="W17" s="12" t="s">
        <v>69</v>
      </c>
      <c r="X17" s="12" t="s">
        <v>69</v>
      </c>
      <c r="Y17" s="12" t="s">
        <v>69</v>
      </c>
      <c r="Z17" s="12" t="s">
        <v>70</v>
      </c>
      <c r="AA17" s="12" t="s">
        <v>70</v>
      </c>
      <c r="AB17" s="12" t="s">
        <v>70</v>
      </c>
      <c r="AC17" s="12" t="s">
        <v>70</v>
      </c>
      <c r="AD17" s="12" t="s">
        <v>69</v>
      </c>
      <c r="AE17" s="12" t="s">
        <v>69</v>
      </c>
      <c r="AF17" s="12" t="s">
        <v>69</v>
      </c>
      <c r="AG17" s="12" t="s">
        <v>70</v>
      </c>
      <c r="AH17" s="12" t="s">
        <v>70</v>
      </c>
      <c r="AI17" s="12" t="s">
        <v>70</v>
      </c>
      <c r="AJ17" s="13">
        <f>IF($A17="","",D17/5*NETWORKDAYS(DATE(Einstellungen!$B$8,MATCH(Einstellungen!$B$7,Einstellungen!$R$15:$R$26,0),1),EOMONTH(DATE(Einstellungen!$B$8,MATCH(Einstellungen!$B$7,Einstellungen!$R$15:$R$26,0),1),0)))</f>
        <v>88</v>
      </c>
      <c r="AK17" s="13">
        <f>IF($A17="","",COUNTIF(E17:AI17,"F")*Einstellungen!$O$16+COUNTIF(E17:AI17,"S")*Einstellungen!$O$17+COUNTIF(E17:AI17,"N")*Einstellungen!$O$18+COUNTIF(E17:AI17,"T")*Einstellungen!$O$19)</f>
        <v>142.50000000000003</v>
      </c>
      <c r="AL17" s="13">
        <f t="shared" si="0"/>
        <v>0</v>
      </c>
      <c r="AM17" s="13">
        <f t="shared" si="1"/>
        <v>0</v>
      </c>
      <c r="AN17" s="13">
        <f t="shared" si="2"/>
        <v>54.500000000000028</v>
      </c>
      <c r="AO17" s="14">
        <f>IF($A17="","",AK17*IFERROR(VLOOKUP($A17,Einstellungen!$A$16:$F$27,6,FALSE),0))</f>
        <v>2921.2500000000005</v>
      </c>
      <c r="AP17" s="4" t="str">
        <f t="shared" si="3"/>
        <v>Überplant</v>
      </c>
    </row>
    <row r="18" spans="1:42" ht="20.100000000000001" customHeight="1" x14ac:dyDescent="0.25">
      <c r="A18" s="4" t="str">
        <f>IF(Einstellungen!$G24="Ja",Einstellungen!$A24,"")</f>
        <v/>
      </c>
      <c r="B18" s="4" t="str">
        <f>IF($A18="","",Einstellungen!$B24)</f>
        <v/>
      </c>
      <c r="C18" s="4" t="str">
        <f>IF($A18="","",Einstellungen!$C24)</f>
        <v/>
      </c>
      <c r="D18" s="4" t="str">
        <f>IF($A18="","",Einstellungen!$E24)</f>
        <v/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3" t="str">
        <f>IF($A18="","",D18/5*NETWORKDAYS(DATE(Einstellungen!$B$8,MATCH(Einstellungen!$B$7,Einstellungen!$R$15:$R$26,0),1),EOMONTH(DATE(Einstellungen!$B$8,MATCH(Einstellungen!$B$7,Einstellungen!$R$15:$R$26,0),1),0)))</f>
        <v/>
      </c>
      <c r="AK18" s="13" t="str">
        <f>IF($A18="","",COUNTIF(E18:AI18,"F")*Einstellungen!$O$16+COUNTIF(E18:AI18,"S")*Einstellungen!$O$17+COUNTIF(E18:AI18,"N")*Einstellungen!$O$18+COUNTIF(E18:AI18,"T")*Einstellungen!$O$19)</f>
        <v/>
      </c>
      <c r="AL18" s="13" t="str">
        <f t="shared" si="0"/>
        <v/>
      </c>
      <c r="AM18" s="13" t="str">
        <f t="shared" si="1"/>
        <v/>
      </c>
      <c r="AN18" s="13" t="str">
        <f t="shared" si="2"/>
        <v/>
      </c>
      <c r="AO18" s="14" t="str">
        <f>IF($A18="","",AK18*IFERROR(VLOOKUP($A18,Einstellungen!$A$16:$F$27,6,FALSE),0))</f>
        <v/>
      </c>
      <c r="AP18" s="4" t="str">
        <f t="shared" si="3"/>
        <v/>
      </c>
    </row>
    <row r="19" spans="1:42" ht="20.100000000000001" customHeight="1" x14ac:dyDescent="0.25">
      <c r="A19" s="4" t="str">
        <f>IF(Einstellungen!$G25="Ja",Einstellungen!$A25,"")</f>
        <v/>
      </c>
      <c r="B19" s="4" t="str">
        <f>IF($A19="","",Einstellungen!$B25)</f>
        <v/>
      </c>
      <c r="C19" s="4" t="str">
        <f>IF($A19="","",Einstellungen!$C25)</f>
        <v/>
      </c>
      <c r="D19" s="4" t="str">
        <f>IF($A19="","",Einstellungen!$E25)</f>
        <v/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3" t="str">
        <f>IF($A19="","",D19/5*NETWORKDAYS(DATE(Einstellungen!$B$8,MATCH(Einstellungen!$B$7,Einstellungen!$R$15:$R$26,0),1),EOMONTH(DATE(Einstellungen!$B$8,MATCH(Einstellungen!$B$7,Einstellungen!$R$15:$R$26,0),1),0)))</f>
        <v/>
      </c>
      <c r="AK19" s="13" t="str">
        <f>IF($A19="","",COUNTIF(E19:AI19,"F")*Einstellungen!$O$16+COUNTIF(E19:AI19,"S")*Einstellungen!$O$17+COUNTIF(E19:AI19,"N")*Einstellungen!$O$18+COUNTIF(E19:AI19,"T")*Einstellungen!$O$19)</f>
        <v/>
      </c>
      <c r="AL19" s="13" t="str">
        <f t="shared" si="0"/>
        <v/>
      </c>
      <c r="AM19" s="13" t="str">
        <f t="shared" si="1"/>
        <v/>
      </c>
      <c r="AN19" s="13" t="str">
        <f t="shared" si="2"/>
        <v/>
      </c>
      <c r="AO19" s="14" t="str">
        <f>IF($A19="","",AK19*IFERROR(VLOOKUP($A19,Einstellungen!$A$16:$F$27,6,FALSE),0))</f>
        <v/>
      </c>
      <c r="AP19" s="4" t="str">
        <f t="shared" si="3"/>
        <v/>
      </c>
    </row>
    <row r="20" spans="1:42" ht="20.100000000000001" customHeight="1" x14ac:dyDescent="0.25">
      <c r="A20" s="4" t="str">
        <f>IF(Einstellungen!$G26="Ja",Einstellungen!$A26,"")</f>
        <v/>
      </c>
      <c r="B20" s="4" t="str">
        <f>IF($A20="","",Einstellungen!$B26)</f>
        <v/>
      </c>
      <c r="C20" s="4" t="str">
        <f>IF($A20="","",Einstellungen!$C26)</f>
        <v/>
      </c>
      <c r="D20" s="4" t="str">
        <f>IF($A20="","",Einstellungen!$E26)</f>
        <v/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3" t="str">
        <f>IF($A20="","",D20/5*NETWORKDAYS(DATE(Einstellungen!$B$8,MATCH(Einstellungen!$B$7,Einstellungen!$R$15:$R$26,0),1),EOMONTH(DATE(Einstellungen!$B$8,MATCH(Einstellungen!$B$7,Einstellungen!$R$15:$R$26,0),1),0)))</f>
        <v/>
      </c>
      <c r="AK20" s="13" t="str">
        <f>IF($A20="","",COUNTIF(E20:AI20,"F")*Einstellungen!$O$16+COUNTIF(E20:AI20,"S")*Einstellungen!$O$17+COUNTIF(E20:AI20,"N")*Einstellungen!$O$18+COUNTIF(E20:AI20,"T")*Einstellungen!$O$19)</f>
        <v/>
      </c>
      <c r="AL20" s="13" t="str">
        <f t="shared" si="0"/>
        <v/>
      </c>
      <c r="AM20" s="13" t="str">
        <f t="shared" si="1"/>
        <v/>
      </c>
      <c r="AN20" s="13" t="str">
        <f t="shared" si="2"/>
        <v/>
      </c>
      <c r="AO20" s="14" t="str">
        <f>IF($A20="","",AK20*IFERROR(VLOOKUP($A20,Einstellungen!$A$16:$F$27,6,FALSE),0))</f>
        <v/>
      </c>
      <c r="AP20" s="4" t="str">
        <f t="shared" si="3"/>
        <v/>
      </c>
    </row>
    <row r="21" spans="1:42" ht="20.100000000000001" customHeight="1" x14ac:dyDescent="0.25">
      <c r="A21" s="4" t="str">
        <f>IF(Einstellungen!$G27="Ja",Einstellungen!$A27,"")</f>
        <v/>
      </c>
      <c r="B21" s="4" t="str">
        <f>IF($A21="","",Einstellungen!$B27)</f>
        <v/>
      </c>
      <c r="C21" s="4" t="str">
        <f>IF($A21="","",Einstellungen!$C27)</f>
        <v/>
      </c>
      <c r="D21" s="4" t="str">
        <f>IF($A21="","",Einstellungen!$E27)</f>
        <v/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3" t="str">
        <f>IF($A21="","",D21/5*NETWORKDAYS(DATE(Einstellungen!$B$8,MATCH(Einstellungen!$B$7,Einstellungen!$R$15:$R$26,0),1),EOMONTH(DATE(Einstellungen!$B$8,MATCH(Einstellungen!$B$7,Einstellungen!$R$15:$R$26,0),1),0)))</f>
        <v/>
      </c>
      <c r="AK21" s="13" t="str">
        <f>IF($A21="","",COUNTIF(E21:AI21,"F")*Einstellungen!$O$16+COUNTIF(E21:AI21,"S")*Einstellungen!$O$17+COUNTIF(E21:AI21,"N")*Einstellungen!$O$18+COUNTIF(E21:AI21,"T")*Einstellungen!$O$19)</f>
        <v/>
      </c>
      <c r="AL21" s="13" t="str">
        <f t="shared" si="0"/>
        <v/>
      </c>
      <c r="AM21" s="13" t="str">
        <f t="shared" si="1"/>
        <v/>
      </c>
      <c r="AN21" s="13" t="str">
        <f t="shared" si="2"/>
        <v/>
      </c>
      <c r="AO21" s="14" t="str">
        <f>IF($A21="","",AK21*IFERROR(VLOOKUP($A21,Einstellungen!$A$16:$F$27,6,FALSE),0))</f>
        <v/>
      </c>
      <c r="AP21" s="4" t="str">
        <f t="shared" si="3"/>
        <v/>
      </c>
    </row>
  </sheetData>
  <mergeCells count="10">
    <mergeCell ref="A1:AP1"/>
    <mergeCell ref="A2:AP2"/>
    <mergeCell ref="A4:D4"/>
    <mergeCell ref="A5:D5"/>
    <mergeCell ref="F4:I4"/>
    <mergeCell ref="F5:I5"/>
    <mergeCell ref="K4:N4"/>
    <mergeCell ref="K5:N5"/>
    <mergeCell ref="P4:S4"/>
    <mergeCell ref="P5:S5"/>
  </mergeCells>
  <conditionalFormatting sqref="E10:AI21">
    <cfRule type="containsText" dxfId="15" priority="1" operator="containsText" text="F"/>
    <cfRule type="containsText" dxfId="14" priority="2" operator="containsText" text="S"/>
    <cfRule type="containsText" dxfId="13" priority="3" operator="containsText" text="N"/>
    <cfRule type="containsText" dxfId="12" priority="4" operator="containsText" text="T"/>
    <cfRule type="containsText" dxfId="11" priority="5" operator="containsText" text="U"/>
    <cfRule type="containsText" dxfId="10" priority="6" operator="containsText" text="K"/>
    <cfRule type="containsText" dxfId="9" priority="7" operator="containsText" text="Frei"/>
    <cfRule type="expression" dxfId="8" priority="8">
      <formula>OR(E$9="Sa",E$9="So")</formula>
    </cfRule>
  </conditionalFormatting>
  <conditionalFormatting sqref="AP10:AP21">
    <cfRule type="containsText" dxfId="7" priority="39" operator="containsText" text="OK"/>
    <cfRule type="containsText" dxfId="6" priority="40" operator="containsText" text="Unterplant"/>
    <cfRule type="containsText" dxfId="5" priority="41" operator="containsText" text="Überplant"/>
  </conditionalFormatting>
  <dataValidations count="1">
    <dataValidation type="list" allowBlank="1" sqref="E10:AI21" xr:uid="{00000000-0002-0000-0100-000000000000}">
      <formula1>"F,S,N,T,U,K,Frei"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5"/>
  <sheetViews>
    <sheetView workbookViewId="0">
      <selection activeCell="K20" sqref="K20"/>
    </sheetView>
  </sheetViews>
  <sheetFormatPr baseColWidth="10" defaultColWidth="9" defaultRowHeight="15" x14ac:dyDescent="0.25"/>
  <cols>
    <col min="1" max="1" width="20.5" bestFit="1" customWidth="1"/>
    <col min="2" max="2" width="13.625" bestFit="1" customWidth="1"/>
    <col min="3" max="3" width="8.625" bestFit="1" customWidth="1"/>
    <col min="4" max="4" width="12.25" bestFit="1" customWidth="1"/>
    <col min="5" max="5" width="20.375" bestFit="1" customWidth="1"/>
    <col min="6" max="6" width="11.875" bestFit="1" customWidth="1"/>
    <col min="7" max="7" width="4.375" bestFit="1" customWidth="1"/>
    <col min="8" max="8" width="17.375" bestFit="1" customWidth="1"/>
    <col min="10" max="10" width="5.125" bestFit="1" customWidth="1"/>
    <col min="11" max="11" width="9.875" bestFit="1" customWidth="1"/>
    <col min="12" max="12" width="5.5" bestFit="1" customWidth="1"/>
    <col min="13" max="13" width="4.75" bestFit="1" customWidth="1"/>
    <col min="14" max="14" width="4.875" bestFit="1" customWidth="1"/>
    <col min="15" max="15" width="6.625" bestFit="1" customWidth="1"/>
    <col min="16" max="16" width="9.5" bestFit="1" customWidth="1"/>
    <col min="18" max="18" width="8" bestFit="1" customWidth="1"/>
    <col min="19" max="19" width="3" bestFit="1" customWidth="1"/>
    <col min="20" max="20" width="14" customWidth="1"/>
    <col min="21" max="21" width="9.25" bestFit="1" customWidth="1"/>
    <col min="22" max="22" width="4.375" bestFit="1" customWidth="1"/>
    <col min="23" max="23" width="10" bestFit="1" customWidth="1"/>
    <col min="24" max="24" width="7.375" bestFit="1" customWidth="1"/>
  </cols>
  <sheetData>
    <row r="1" spans="1:24" ht="24.95" customHeight="1" x14ac:dyDescent="0.25">
      <c r="A1" s="16" t="s">
        <v>0</v>
      </c>
      <c r="B1" s="16"/>
      <c r="C1" s="16"/>
      <c r="D1" s="16"/>
      <c r="E1" s="16"/>
      <c r="F1" s="16"/>
      <c r="G1" s="16"/>
      <c r="H1" s="16"/>
    </row>
    <row r="2" spans="1:24" ht="24.95" customHeight="1" x14ac:dyDescent="0.25">
      <c r="A2" s="17" t="s">
        <v>1</v>
      </c>
      <c r="B2" s="17"/>
      <c r="C2" s="17"/>
      <c r="D2" s="17"/>
      <c r="E2" s="17"/>
      <c r="F2" s="17"/>
      <c r="G2" s="17"/>
      <c r="H2" s="17"/>
    </row>
    <row r="4" spans="1:24" x14ac:dyDescent="0.25">
      <c r="A4" s="18" t="s">
        <v>2</v>
      </c>
      <c r="B4" s="18"/>
    </row>
    <row r="5" spans="1:24" x14ac:dyDescent="0.25">
      <c r="A5" s="2" t="s">
        <v>3</v>
      </c>
      <c r="B5" s="4" t="s">
        <v>4</v>
      </c>
    </row>
    <row r="6" spans="1:24" x14ac:dyDescent="0.25">
      <c r="A6" s="2" t="s">
        <v>5</v>
      </c>
      <c r="B6" s="4" t="s">
        <v>6</v>
      </c>
    </row>
    <row r="7" spans="1:24" x14ac:dyDescent="0.25">
      <c r="A7" s="2" t="s">
        <v>7</v>
      </c>
      <c r="B7" s="5" t="s">
        <v>8</v>
      </c>
    </row>
    <row r="8" spans="1:24" x14ac:dyDescent="0.25">
      <c r="A8" s="2" t="s">
        <v>9</v>
      </c>
      <c r="B8" s="4">
        <v>2026</v>
      </c>
    </row>
    <row r="9" spans="1:24" x14ac:dyDescent="0.25">
      <c r="A9" s="2" t="s">
        <v>10</v>
      </c>
      <c r="B9" s="4">
        <v>40</v>
      </c>
    </row>
    <row r="10" spans="1:24" x14ac:dyDescent="0.25">
      <c r="A10" s="2" t="s">
        <v>11</v>
      </c>
      <c r="B10" s="4">
        <v>3</v>
      </c>
    </row>
    <row r="11" spans="1:24" x14ac:dyDescent="0.25">
      <c r="A11" s="2" t="s">
        <v>12</v>
      </c>
      <c r="B11" s="4" t="s">
        <v>13</v>
      </c>
    </row>
    <row r="12" spans="1:24" x14ac:dyDescent="0.25">
      <c r="A12" s="2" t="s">
        <v>14</v>
      </c>
      <c r="B12" s="9">
        <v>46027</v>
      </c>
    </row>
    <row r="14" spans="1:24" x14ac:dyDescent="0.25">
      <c r="A14" s="18" t="s">
        <v>15</v>
      </c>
      <c r="B14" s="18"/>
      <c r="C14" s="18"/>
      <c r="D14" s="18"/>
      <c r="E14" s="18"/>
      <c r="F14" s="18"/>
      <c r="G14" s="18"/>
      <c r="H14" s="18"/>
      <c r="J14" s="18" t="s">
        <v>16</v>
      </c>
      <c r="K14" s="18"/>
      <c r="L14" s="18"/>
      <c r="M14" s="18"/>
      <c r="N14" s="18"/>
      <c r="O14" s="18"/>
      <c r="P14" s="18"/>
      <c r="R14" s="3" t="s">
        <v>17</v>
      </c>
      <c r="S14" s="3" t="s">
        <v>18</v>
      </c>
      <c r="U14" s="1" t="s">
        <v>19</v>
      </c>
      <c r="V14" s="1" t="s">
        <v>20</v>
      </c>
      <c r="W14" s="1" t="s">
        <v>21</v>
      </c>
      <c r="X14" s="1" t="s">
        <v>22</v>
      </c>
    </row>
    <row r="15" spans="1:24" x14ac:dyDescent="0.25">
      <c r="A15" s="3" t="s">
        <v>23</v>
      </c>
      <c r="B15" s="3" t="s">
        <v>15</v>
      </c>
      <c r="C15" s="3" t="s">
        <v>24</v>
      </c>
      <c r="D15" s="3" t="s">
        <v>25</v>
      </c>
      <c r="E15" s="3" t="s">
        <v>26</v>
      </c>
      <c r="F15" s="3" t="s">
        <v>27</v>
      </c>
      <c r="G15" s="3" t="s">
        <v>20</v>
      </c>
      <c r="H15" s="3" t="s">
        <v>28</v>
      </c>
      <c r="J15" s="3" t="s">
        <v>29</v>
      </c>
      <c r="K15" s="3" t="s">
        <v>30</v>
      </c>
      <c r="L15" s="3" t="s">
        <v>31</v>
      </c>
      <c r="M15" s="3" t="s">
        <v>32</v>
      </c>
      <c r="N15" s="3" t="s">
        <v>33</v>
      </c>
      <c r="O15" s="3" t="s">
        <v>34</v>
      </c>
      <c r="P15" s="3" t="s">
        <v>35</v>
      </c>
      <c r="R15" s="2" t="s">
        <v>8</v>
      </c>
      <c r="S15" s="2">
        <v>1</v>
      </c>
      <c r="U15" s="2" t="s">
        <v>36</v>
      </c>
      <c r="V15" s="2" t="s">
        <v>37</v>
      </c>
      <c r="W15" s="2" t="s">
        <v>38</v>
      </c>
      <c r="X15" s="2" t="s">
        <v>39</v>
      </c>
    </row>
    <row r="16" spans="1:24" x14ac:dyDescent="0.25">
      <c r="A16" s="2" t="s">
        <v>40</v>
      </c>
      <c r="B16" s="2" t="s">
        <v>41</v>
      </c>
      <c r="C16" s="2" t="s">
        <v>36</v>
      </c>
      <c r="D16" s="2" t="s">
        <v>42</v>
      </c>
      <c r="E16" s="2">
        <v>40</v>
      </c>
      <c r="F16" s="6">
        <v>18.5</v>
      </c>
      <c r="G16" s="2" t="s">
        <v>37</v>
      </c>
      <c r="H16" s="2" t="s">
        <v>43</v>
      </c>
      <c r="J16" s="2" t="s">
        <v>39</v>
      </c>
      <c r="K16" s="2" t="s">
        <v>44</v>
      </c>
      <c r="L16" s="7">
        <v>0.25</v>
      </c>
      <c r="M16" s="7">
        <v>0.58333333333333337</v>
      </c>
      <c r="N16" s="7">
        <v>2.0833333333333332E-2</v>
      </c>
      <c r="O16" s="8">
        <f>IF(OR(L16="",M16=""),0,IF(M16&lt;L16,(M16+1-L16)-N16,(M16-L16)-N16)*24)</f>
        <v>7.5000000000000018</v>
      </c>
      <c r="P16" s="2" t="s">
        <v>45</v>
      </c>
      <c r="R16" s="2" t="s">
        <v>46</v>
      </c>
      <c r="S16" s="2">
        <v>2</v>
      </c>
      <c r="U16" s="2" t="s">
        <v>47</v>
      </c>
      <c r="V16" s="2" t="s">
        <v>48</v>
      </c>
      <c r="W16" s="2" t="s">
        <v>49</v>
      </c>
      <c r="X16" s="2" t="s">
        <v>50</v>
      </c>
    </row>
    <row r="17" spans="1:24" x14ac:dyDescent="0.25">
      <c r="A17" s="2" t="s">
        <v>51</v>
      </c>
      <c r="B17" s="2" t="s">
        <v>52</v>
      </c>
      <c r="C17" s="2" t="s">
        <v>36</v>
      </c>
      <c r="D17" s="2" t="s">
        <v>53</v>
      </c>
      <c r="E17" s="2">
        <v>38</v>
      </c>
      <c r="F17" s="6">
        <v>22</v>
      </c>
      <c r="G17" s="2" t="s">
        <v>37</v>
      </c>
      <c r="H17" s="2" t="s">
        <v>54</v>
      </c>
      <c r="J17" s="2" t="s">
        <v>50</v>
      </c>
      <c r="K17" s="2" t="s">
        <v>55</v>
      </c>
      <c r="L17" s="7">
        <v>0.58333333333333337</v>
      </c>
      <c r="M17" s="7">
        <v>0.91666666666666663</v>
      </c>
      <c r="N17" s="7">
        <v>2.0833333333333332E-2</v>
      </c>
      <c r="O17" s="8">
        <f>IF(OR(L17="",M17=""),0,IF(M17&lt;L17,(M17+1-L17)-N17,(M17-L17)-N17)*24)</f>
        <v>7.4999999999999982</v>
      </c>
      <c r="P17" s="2" t="s">
        <v>56</v>
      </c>
      <c r="R17" s="2" t="s">
        <v>57</v>
      </c>
      <c r="S17" s="2">
        <v>3</v>
      </c>
      <c r="U17" s="2" t="s">
        <v>58</v>
      </c>
      <c r="V17" s="2"/>
      <c r="W17" s="2" t="s">
        <v>59</v>
      </c>
      <c r="X17" s="2" t="s">
        <v>60</v>
      </c>
    </row>
    <row r="18" spans="1:24" x14ac:dyDescent="0.25">
      <c r="A18" s="2" t="s">
        <v>61</v>
      </c>
      <c r="B18" s="2" t="s">
        <v>62</v>
      </c>
      <c r="C18" s="2" t="s">
        <v>47</v>
      </c>
      <c r="D18" s="2" t="s">
        <v>63</v>
      </c>
      <c r="E18" s="2">
        <v>40</v>
      </c>
      <c r="F18" s="6">
        <v>17.8</v>
      </c>
      <c r="G18" s="2" t="s">
        <v>37</v>
      </c>
      <c r="H18" s="2" t="s">
        <v>64</v>
      </c>
      <c r="J18" s="2" t="s">
        <v>60</v>
      </c>
      <c r="K18" s="2" t="s">
        <v>65</v>
      </c>
      <c r="L18" s="7">
        <v>0.91666666666666663</v>
      </c>
      <c r="M18" s="7">
        <v>0.25</v>
      </c>
      <c r="N18" s="7">
        <v>3.125E-2</v>
      </c>
      <c r="O18" s="8">
        <f>IF(OR(L18="",M18=""),0,IF(M18&lt;L18,(M18+1-L18)-N18,(M18-L18)-N18)*24)</f>
        <v>7.2500000000000009</v>
      </c>
      <c r="P18" s="2" t="s">
        <v>66</v>
      </c>
      <c r="R18" s="2" t="s">
        <v>67</v>
      </c>
      <c r="S18" s="2">
        <v>4</v>
      </c>
      <c r="U18" s="2" t="s">
        <v>68</v>
      </c>
      <c r="V18" s="2"/>
      <c r="W18" s="2" t="s">
        <v>69</v>
      </c>
      <c r="X18" s="2" t="s">
        <v>70</v>
      </c>
    </row>
    <row r="19" spans="1:24" x14ac:dyDescent="0.25">
      <c r="A19" s="2" t="s">
        <v>71</v>
      </c>
      <c r="B19" s="2" t="s">
        <v>72</v>
      </c>
      <c r="C19" s="2" t="s">
        <v>58</v>
      </c>
      <c r="D19" s="2" t="s">
        <v>73</v>
      </c>
      <c r="E19" s="2">
        <v>30</v>
      </c>
      <c r="F19" s="6">
        <v>19.2</v>
      </c>
      <c r="G19" s="2" t="s">
        <v>37</v>
      </c>
      <c r="H19" s="2" t="s">
        <v>74</v>
      </c>
      <c r="J19" s="2" t="s">
        <v>70</v>
      </c>
      <c r="K19" s="2" t="s">
        <v>75</v>
      </c>
      <c r="L19" s="7">
        <v>0.375</v>
      </c>
      <c r="M19" s="7">
        <v>0.70833333333333337</v>
      </c>
      <c r="N19" s="7">
        <v>2.0833333333333332E-2</v>
      </c>
      <c r="O19" s="8">
        <f>IF(OR(L19="",M19=""),0,IF(M19&lt;L19,(M19+1-L19)-N19,(M19-L19)-N19)*24)</f>
        <v>7.5000000000000018</v>
      </c>
      <c r="P19" s="2" t="s">
        <v>76</v>
      </c>
      <c r="R19" s="2" t="s">
        <v>77</v>
      </c>
      <c r="S19" s="2">
        <v>5</v>
      </c>
      <c r="U19" s="2"/>
      <c r="V19" s="2"/>
      <c r="W19" s="2"/>
      <c r="X19" s="2" t="s">
        <v>78</v>
      </c>
    </row>
    <row r="20" spans="1:24" x14ac:dyDescent="0.25">
      <c r="A20" s="2" t="s">
        <v>79</v>
      </c>
      <c r="B20" s="2" t="s">
        <v>80</v>
      </c>
      <c r="C20" s="2" t="s">
        <v>36</v>
      </c>
      <c r="D20" s="2" t="s">
        <v>42</v>
      </c>
      <c r="E20" s="2">
        <v>25</v>
      </c>
      <c r="F20" s="6">
        <v>16.899999999999999</v>
      </c>
      <c r="G20" s="2" t="s">
        <v>37</v>
      </c>
      <c r="H20" s="2" t="s">
        <v>74</v>
      </c>
      <c r="J20" s="2" t="s">
        <v>78</v>
      </c>
      <c r="K20" s="2" t="s">
        <v>38</v>
      </c>
      <c r="L20" s="7"/>
      <c r="M20" s="7"/>
      <c r="N20" s="7"/>
      <c r="O20" s="8">
        <v>0</v>
      </c>
      <c r="P20" s="2" t="s">
        <v>21</v>
      </c>
      <c r="R20" s="2" t="s">
        <v>81</v>
      </c>
      <c r="S20" s="2">
        <v>6</v>
      </c>
      <c r="U20" s="2"/>
      <c r="V20" s="2"/>
      <c r="W20" s="2"/>
      <c r="X20" s="2" t="s">
        <v>82</v>
      </c>
    </row>
    <row r="21" spans="1:24" x14ac:dyDescent="0.25">
      <c r="A21" s="2" t="s">
        <v>83</v>
      </c>
      <c r="B21" s="2" t="s">
        <v>84</v>
      </c>
      <c r="C21" s="2" t="s">
        <v>58</v>
      </c>
      <c r="D21" s="2" t="s">
        <v>85</v>
      </c>
      <c r="E21" s="2">
        <v>35</v>
      </c>
      <c r="F21" s="6">
        <v>18</v>
      </c>
      <c r="G21" s="2" t="s">
        <v>37</v>
      </c>
      <c r="H21" s="2" t="s">
        <v>86</v>
      </c>
      <c r="J21" s="2" t="s">
        <v>82</v>
      </c>
      <c r="K21" s="2" t="s">
        <v>49</v>
      </c>
      <c r="L21" s="7"/>
      <c r="M21" s="7"/>
      <c r="N21" s="7"/>
      <c r="O21" s="8">
        <v>0</v>
      </c>
      <c r="P21" s="2" t="s">
        <v>21</v>
      </c>
      <c r="R21" s="2" t="s">
        <v>87</v>
      </c>
      <c r="S21" s="2">
        <v>7</v>
      </c>
      <c r="U21" s="2"/>
      <c r="V21" s="2"/>
      <c r="W21" s="2"/>
      <c r="X21" s="2" t="s">
        <v>69</v>
      </c>
    </row>
    <row r="22" spans="1:24" x14ac:dyDescent="0.25">
      <c r="A22" s="2" t="s">
        <v>88</v>
      </c>
      <c r="B22" s="2" t="s">
        <v>89</v>
      </c>
      <c r="C22" s="2" t="s">
        <v>47</v>
      </c>
      <c r="D22" s="2" t="s">
        <v>63</v>
      </c>
      <c r="E22" s="2">
        <v>40</v>
      </c>
      <c r="F22" s="6">
        <v>18.3</v>
      </c>
      <c r="G22" s="2" t="s">
        <v>37</v>
      </c>
      <c r="H22" s="2" t="s">
        <v>90</v>
      </c>
      <c r="J22" s="2" t="s">
        <v>69</v>
      </c>
      <c r="K22" s="2" t="s">
        <v>69</v>
      </c>
      <c r="L22" s="7"/>
      <c r="M22" s="7"/>
      <c r="N22" s="7"/>
      <c r="O22" s="8">
        <v>0</v>
      </c>
      <c r="P22" s="2" t="s">
        <v>69</v>
      </c>
      <c r="R22" s="2" t="s">
        <v>91</v>
      </c>
      <c r="S22" s="2">
        <v>8</v>
      </c>
    </row>
    <row r="23" spans="1:24" x14ac:dyDescent="0.25">
      <c r="A23" s="2" t="s">
        <v>92</v>
      </c>
      <c r="B23" s="2" t="s">
        <v>93</v>
      </c>
      <c r="C23" s="2" t="s">
        <v>68</v>
      </c>
      <c r="D23" s="2" t="s">
        <v>94</v>
      </c>
      <c r="E23" s="2">
        <v>20</v>
      </c>
      <c r="F23" s="6">
        <v>20.5</v>
      </c>
      <c r="G23" s="2" t="s">
        <v>37</v>
      </c>
      <c r="H23" s="2" t="s">
        <v>95</v>
      </c>
      <c r="R23" s="2" t="s">
        <v>96</v>
      </c>
      <c r="S23" s="2">
        <v>9</v>
      </c>
    </row>
    <row r="24" spans="1:24" x14ac:dyDescent="0.25">
      <c r="A24" s="2"/>
      <c r="B24" s="2"/>
      <c r="C24" s="2"/>
      <c r="D24" s="2"/>
      <c r="E24" s="2"/>
      <c r="F24" s="6"/>
      <c r="G24" s="2"/>
      <c r="H24" s="2"/>
      <c r="R24" s="2" t="s">
        <v>97</v>
      </c>
      <c r="S24" s="2">
        <v>10</v>
      </c>
    </row>
    <row r="25" spans="1:24" x14ac:dyDescent="0.25">
      <c r="A25" s="2"/>
      <c r="B25" s="2"/>
      <c r="C25" s="2"/>
      <c r="D25" s="2"/>
      <c r="E25" s="2"/>
      <c r="F25" s="6"/>
      <c r="G25" s="2"/>
      <c r="H25" s="2"/>
      <c r="R25" s="2" t="s">
        <v>98</v>
      </c>
      <c r="S25" s="2">
        <v>11</v>
      </c>
    </row>
    <row r="26" spans="1:24" x14ac:dyDescent="0.25">
      <c r="A26" s="2"/>
      <c r="B26" s="2"/>
      <c r="C26" s="2"/>
      <c r="D26" s="2"/>
      <c r="E26" s="2"/>
      <c r="F26" s="6"/>
      <c r="G26" s="2"/>
      <c r="H26" s="2"/>
      <c r="R26" s="2" t="s">
        <v>99</v>
      </c>
      <c r="S26" s="2">
        <v>12</v>
      </c>
    </row>
    <row r="27" spans="1:24" x14ac:dyDescent="0.25">
      <c r="A27" s="2"/>
      <c r="B27" s="2"/>
      <c r="C27" s="2"/>
      <c r="D27" s="2"/>
      <c r="E27" s="2"/>
      <c r="F27" s="6"/>
      <c r="G27" s="2"/>
      <c r="H27" s="2"/>
    </row>
    <row r="29" spans="1:24" x14ac:dyDescent="0.25">
      <c r="A29" s="18" t="s">
        <v>100</v>
      </c>
      <c r="B29" s="18"/>
      <c r="C29" s="18"/>
      <c r="D29" s="18"/>
      <c r="E29" s="18"/>
      <c r="F29" s="18"/>
    </row>
    <row r="30" spans="1:24" x14ac:dyDescent="0.25">
      <c r="A30" s="3" t="s">
        <v>15</v>
      </c>
      <c r="B30" s="3" t="s">
        <v>101</v>
      </c>
      <c r="C30" s="3" t="s">
        <v>102</v>
      </c>
      <c r="D30" s="3" t="s">
        <v>103</v>
      </c>
      <c r="E30" s="3" t="s">
        <v>104</v>
      </c>
      <c r="F30" s="3" t="s">
        <v>28</v>
      </c>
    </row>
    <row r="31" spans="1:24" x14ac:dyDescent="0.25">
      <c r="A31" s="2" t="s">
        <v>41</v>
      </c>
      <c r="B31" s="2">
        <v>46034</v>
      </c>
      <c r="C31" s="2">
        <v>46036</v>
      </c>
      <c r="D31" s="2" t="s">
        <v>38</v>
      </c>
      <c r="E31" s="2" t="s">
        <v>37</v>
      </c>
      <c r="F31" s="2" t="s">
        <v>105</v>
      </c>
    </row>
    <row r="32" spans="1:24" x14ac:dyDescent="0.25">
      <c r="A32" s="2" t="s">
        <v>72</v>
      </c>
      <c r="B32" s="2">
        <v>46042</v>
      </c>
      <c r="C32" s="2">
        <v>46042</v>
      </c>
      <c r="D32" s="2" t="s">
        <v>49</v>
      </c>
      <c r="E32" s="2" t="s">
        <v>37</v>
      </c>
      <c r="F32" s="2" t="s">
        <v>106</v>
      </c>
    </row>
    <row r="33" spans="1:6" x14ac:dyDescent="0.25">
      <c r="A33" s="2" t="s">
        <v>80</v>
      </c>
      <c r="B33" s="2">
        <v>46049</v>
      </c>
      <c r="C33" s="2">
        <v>46050</v>
      </c>
      <c r="D33" s="2" t="s">
        <v>38</v>
      </c>
      <c r="E33" s="2" t="s">
        <v>48</v>
      </c>
      <c r="F33" s="2" t="s">
        <v>107</v>
      </c>
    </row>
    <row r="34" spans="1:6" x14ac:dyDescent="0.25">
      <c r="A34" s="2"/>
      <c r="B34" s="2"/>
      <c r="C34" s="2"/>
      <c r="D34" s="2"/>
      <c r="E34" s="2"/>
      <c r="F34" s="2"/>
    </row>
    <row r="35" spans="1:6" x14ac:dyDescent="0.25">
      <c r="A35" s="2"/>
      <c r="B35" s="2"/>
      <c r="C35" s="2"/>
      <c r="D35" s="2"/>
      <c r="E35" s="2"/>
      <c r="F35" s="2"/>
    </row>
  </sheetData>
  <mergeCells count="6">
    <mergeCell ref="A29:F29"/>
    <mergeCell ref="A1:H1"/>
    <mergeCell ref="A2:H2"/>
    <mergeCell ref="A4:B4"/>
    <mergeCell ref="A14:H14"/>
    <mergeCell ref="J14:P14"/>
  </mergeCells>
  <dataValidations count="4">
    <dataValidation type="list" sqref="B7" xr:uid="{00000000-0002-0000-0000-000000000000}">
      <formula1>"Januar,Februar,März,April,Mai,Juni,Juli,August,September,Oktober,November,Dezember"</formula1>
    </dataValidation>
    <dataValidation type="list" allowBlank="1" sqref="C16:C27" xr:uid="{00000000-0002-0000-0000-000001000000}">
      <formula1>"Verkauf,Lager,Service,Verwaltung"</formula1>
    </dataValidation>
    <dataValidation type="list" allowBlank="1" sqref="G16:G27 E31:E35" xr:uid="{00000000-0002-0000-0000-000002000000}">
      <formula1>"Ja,Nein"</formula1>
    </dataValidation>
    <dataValidation type="list" allowBlank="1" sqref="D31:D35" xr:uid="{00000000-0002-0000-0000-000003000000}">
      <formula1>"Urlaub,Krank,Fortbildung,Frei"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tabSelected="1" workbookViewId="0">
      <selection activeCell="H35" sqref="H35"/>
    </sheetView>
  </sheetViews>
  <sheetFormatPr baseColWidth="10" defaultColWidth="9" defaultRowHeight="15" x14ac:dyDescent="0.25"/>
  <cols>
    <col min="1" max="1" width="18" customWidth="1"/>
    <col min="2" max="2" width="14" customWidth="1"/>
    <col min="3" max="9" width="13" customWidth="1"/>
    <col min="11" max="16" width="14" customWidth="1"/>
  </cols>
  <sheetData>
    <row r="1" spans="1:17" ht="23.25" x14ac:dyDescent="0.25">
      <c r="A1" s="16" t="s">
        <v>128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x14ac:dyDescent="0.25">
      <c r="A2" s="17" t="str">
        <f>"Auswertung für "&amp;Einstellungen!B7&amp;" "&amp;Einstellungen!B8</f>
        <v>Auswertung für Januar 2026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4" spans="1:17" x14ac:dyDescent="0.25">
      <c r="A4" s="23" t="s">
        <v>110</v>
      </c>
      <c r="B4" s="23"/>
      <c r="C4" s="23" t="s">
        <v>114</v>
      </c>
      <c r="D4" s="23"/>
      <c r="E4" s="23" t="s">
        <v>120</v>
      </c>
      <c r="F4" s="23"/>
      <c r="G4" s="23" t="s">
        <v>112</v>
      </c>
      <c r="H4" s="23"/>
      <c r="I4" s="23" t="s">
        <v>111</v>
      </c>
      <c r="J4" s="23"/>
      <c r="K4" s="23" t="s">
        <v>116</v>
      </c>
      <c r="L4" s="23"/>
      <c r="M4" s="23" t="s">
        <v>121</v>
      </c>
      <c r="N4" s="23"/>
      <c r="O4" s="23" t="s">
        <v>122</v>
      </c>
      <c r="P4" s="23"/>
      <c r="Q4" s="23"/>
    </row>
    <row r="5" spans="1:17" ht="17.25" x14ac:dyDescent="0.3">
      <c r="A5" s="24">
        <f>SUM(Arbeitsplan!AK10:AK21)</f>
        <v>1267.5</v>
      </c>
      <c r="B5" s="24"/>
      <c r="C5" s="24">
        <f>SUM(Arbeitsplan!AJ10:AJ21)</f>
        <v>1179.2</v>
      </c>
      <c r="D5" s="24"/>
      <c r="E5" s="24">
        <f>A5-C5</f>
        <v>88.299999999999955</v>
      </c>
      <c r="F5" s="24"/>
      <c r="G5" s="25">
        <f>SUM(Arbeitsplan!AO10:AO21)</f>
        <v>24009.75</v>
      </c>
      <c r="H5" s="25"/>
      <c r="I5" s="26">
        <f>SUM(Arbeitsplan!AL10:AL21)</f>
        <v>5</v>
      </c>
      <c r="J5" s="26"/>
      <c r="K5" s="26">
        <f>SUM(Arbeitsplan!AM10:AM21)</f>
        <v>2</v>
      </c>
      <c r="L5" s="26"/>
      <c r="M5" s="26">
        <f>COUNTIF(Arbeitsplan!AN10:AN21,"&gt;2")</f>
        <v>5</v>
      </c>
      <c r="N5" s="26"/>
      <c r="O5" s="26">
        <f>COUNTIF(Arbeitsplan!AN10:AN21,"&lt;-2")</f>
        <v>3</v>
      </c>
      <c r="P5" s="26"/>
      <c r="Q5" s="26"/>
    </row>
    <row r="8" spans="1:17" x14ac:dyDescent="0.25">
      <c r="A8" s="15" t="s">
        <v>15</v>
      </c>
      <c r="B8" s="15" t="s">
        <v>24</v>
      </c>
      <c r="C8" s="15" t="s">
        <v>114</v>
      </c>
      <c r="D8" s="15" t="s">
        <v>115</v>
      </c>
      <c r="E8" s="15" t="s">
        <v>123</v>
      </c>
      <c r="F8" s="15" t="s">
        <v>111</v>
      </c>
      <c r="G8" s="15" t="s">
        <v>116</v>
      </c>
      <c r="H8" s="15" t="s">
        <v>118</v>
      </c>
      <c r="I8" s="15" t="s">
        <v>119</v>
      </c>
      <c r="K8" s="15" t="s">
        <v>24</v>
      </c>
      <c r="L8" s="15" t="s">
        <v>15</v>
      </c>
      <c r="M8" s="15" t="s">
        <v>110</v>
      </c>
      <c r="N8" s="15" t="s">
        <v>118</v>
      </c>
      <c r="O8" s="15" t="s">
        <v>111</v>
      </c>
      <c r="P8" s="15" t="s">
        <v>116</v>
      </c>
    </row>
    <row r="9" spans="1:17" x14ac:dyDescent="0.25">
      <c r="A9" s="4" t="str">
        <f>Arbeitsplan!B10</f>
        <v>Max Müller</v>
      </c>
      <c r="B9" s="4" t="str">
        <f>Arbeitsplan!C10</f>
        <v>Verkauf</v>
      </c>
      <c r="C9" s="8">
        <f>Arbeitsplan!AJ10</f>
        <v>176</v>
      </c>
      <c r="D9" s="8">
        <f>Arbeitsplan!AK10</f>
        <v>165.00000000000003</v>
      </c>
      <c r="E9" s="8">
        <f>Arbeitsplan!AN10</f>
        <v>-10.999999999999972</v>
      </c>
      <c r="F9" s="8">
        <f>Arbeitsplan!AL10</f>
        <v>3</v>
      </c>
      <c r="G9" s="8">
        <f>Arbeitsplan!AM10</f>
        <v>0</v>
      </c>
      <c r="H9" s="6">
        <f>Arbeitsplan!AO10</f>
        <v>3052.5000000000005</v>
      </c>
      <c r="I9" s="2" t="str">
        <f>Arbeitsplan!AP10</f>
        <v>Unterplant</v>
      </c>
      <c r="K9" s="4" t="s">
        <v>36</v>
      </c>
      <c r="L9" s="2">
        <f>COUNTIFS(Arbeitsplan!$C$10:$C$21,K9,Arbeitsplan!$B$10:$B$21,"?*")</f>
        <v>3</v>
      </c>
      <c r="M9" s="8">
        <f>SUMIFS(Arbeitsplan!$AK$10:$AK$21,Arbeitsplan!$C$10:$C$21,K9)</f>
        <v>465</v>
      </c>
      <c r="N9" s="6">
        <f>SUMIFS(Arbeitsplan!$AO$10:$AO$21,Arbeitsplan!$C$10:$C$21,K9)</f>
        <v>9002.25</v>
      </c>
      <c r="O9" s="2">
        <f>SUMIFS(Arbeitsplan!$AL$10:$AL$21,Arbeitsplan!$C$10:$C$21,K9)</f>
        <v>5</v>
      </c>
      <c r="P9" s="2">
        <f>SUMIFS(Arbeitsplan!$AM$10:$AM$21,Arbeitsplan!$C$10:$C$21,K9)</f>
        <v>0</v>
      </c>
    </row>
    <row r="10" spans="1:17" x14ac:dyDescent="0.25">
      <c r="A10" s="4" t="str">
        <f>Arbeitsplan!B11</f>
        <v>Anna Schmidt</v>
      </c>
      <c r="B10" s="4" t="str">
        <f>Arbeitsplan!C11</f>
        <v>Verkauf</v>
      </c>
      <c r="C10" s="8">
        <f>Arbeitsplan!AJ11</f>
        <v>167.2</v>
      </c>
      <c r="D10" s="8">
        <f>Arbeitsplan!AK11</f>
        <v>172.49999999999997</v>
      </c>
      <c r="E10" s="8">
        <f>Arbeitsplan!AN11</f>
        <v>5.2999999999999829</v>
      </c>
      <c r="F10" s="8">
        <f>Arbeitsplan!AL11</f>
        <v>0</v>
      </c>
      <c r="G10" s="8">
        <f>Arbeitsplan!AM11</f>
        <v>0</v>
      </c>
      <c r="H10" s="6">
        <f>Arbeitsplan!AO11</f>
        <v>3794.9999999999995</v>
      </c>
      <c r="I10" s="2" t="str">
        <f>Arbeitsplan!AP11</f>
        <v>Überplant</v>
      </c>
      <c r="K10" s="4" t="s">
        <v>47</v>
      </c>
      <c r="L10" s="2">
        <f>COUNTIFS(Arbeitsplan!$C$10:$C$21,K10,Arbeitsplan!$B$10:$B$21,"?*")</f>
        <v>2</v>
      </c>
      <c r="M10" s="8">
        <f>SUMIFS(Arbeitsplan!$AK$10:$AK$21,Arbeitsplan!$C$10:$C$21,K10)</f>
        <v>345.00000000000011</v>
      </c>
      <c r="N10" s="6">
        <f>SUMIFS(Arbeitsplan!$AO$10:$AO$21,Arbeitsplan!$C$10:$C$21,K10)</f>
        <v>6227.2500000000018</v>
      </c>
      <c r="O10" s="2">
        <f>SUMIFS(Arbeitsplan!$AL$10:$AL$21,Arbeitsplan!$C$10:$C$21,K10)</f>
        <v>0</v>
      </c>
      <c r="P10" s="2">
        <f>SUMIFS(Arbeitsplan!$AM$10:$AM$21,Arbeitsplan!$C$10:$C$21,K10)</f>
        <v>0</v>
      </c>
    </row>
    <row r="11" spans="1:17" x14ac:dyDescent="0.25">
      <c r="A11" s="4" t="str">
        <f>Arbeitsplan!B12</f>
        <v>Peter Meier</v>
      </c>
      <c r="B11" s="4" t="str">
        <f>Arbeitsplan!C12</f>
        <v>Lager</v>
      </c>
      <c r="C11" s="8">
        <f>Arbeitsplan!AJ12</f>
        <v>176</v>
      </c>
      <c r="D11" s="8">
        <f>Arbeitsplan!AK12</f>
        <v>172.50000000000006</v>
      </c>
      <c r="E11" s="8">
        <f>Arbeitsplan!AN12</f>
        <v>-3.4999999999999432</v>
      </c>
      <c r="F11" s="8">
        <f>Arbeitsplan!AL12</f>
        <v>0</v>
      </c>
      <c r="G11" s="8">
        <f>Arbeitsplan!AM12</f>
        <v>0</v>
      </c>
      <c r="H11" s="6">
        <f>Arbeitsplan!AO12</f>
        <v>3070.5000000000009</v>
      </c>
      <c r="I11" s="2" t="str">
        <f>Arbeitsplan!AP12</f>
        <v>Unterplant</v>
      </c>
      <c r="K11" s="4" t="s">
        <v>58</v>
      </c>
      <c r="L11" s="2">
        <f>COUNTIFS(Arbeitsplan!$C$10:$C$21,K11,Arbeitsplan!$B$10:$B$21,"?*")</f>
        <v>2</v>
      </c>
      <c r="M11" s="8">
        <f>SUMIFS(Arbeitsplan!$AK$10:$AK$21,Arbeitsplan!$C$10:$C$21,K11)</f>
        <v>315</v>
      </c>
      <c r="N11" s="6">
        <f>SUMIFS(Arbeitsplan!$AO$10:$AO$21,Arbeitsplan!$C$10:$C$21,K11)</f>
        <v>5859</v>
      </c>
      <c r="O11" s="2">
        <f>SUMIFS(Arbeitsplan!$AL$10:$AL$21,Arbeitsplan!$C$10:$C$21,K11)</f>
        <v>0</v>
      </c>
      <c r="P11" s="2">
        <f>SUMIFS(Arbeitsplan!$AM$10:$AM$21,Arbeitsplan!$C$10:$C$21,K11)</f>
        <v>2</v>
      </c>
    </row>
    <row r="12" spans="1:17" x14ac:dyDescent="0.25">
      <c r="A12" s="4" t="str">
        <f>Arbeitsplan!B13</f>
        <v>Laura Becker</v>
      </c>
      <c r="B12" s="4" t="str">
        <f>Arbeitsplan!C13</f>
        <v>Service</v>
      </c>
      <c r="C12" s="8">
        <f>Arbeitsplan!AJ13</f>
        <v>132</v>
      </c>
      <c r="D12" s="8">
        <f>Arbeitsplan!AK13</f>
        <v>157.5</v>
      </c>
      <c r="E12" s="8">
        <f>Arbeitsplan!AN13</f>
        <v>25.5</v>
      </c>
      <c r="F12" s="8">
        <f>Arbeitsplan!AL13</f>
        <v>0</v>
      </c>
      <c r="G12" s="8">
        <f>Arbeitsplan!AM13</f>
        <v>2</v>
      </c>
      <c r="H12" s="6">
        <f>Arbeitsplan!AO13</f>
        <v>3024</v>
      </c>
      <c r="I12" s="2" t="str">
        <f>Arbeitsplan!AP13</f>
        <v>Überplant</v>
      </c>
      <c r="K12" s="4" t="s">
        <v>68</v>
      </c>
      <c r="L12" s="2">
        <f>COUNTIFS(Arbeitsplan!$C$10:$C$21,K12,Arbeitsplan!$B$10:$B$21,"?*")</f>
        <v>1</v>
      </c>
      <c r="M12" s="8">
        <f>SUMIFS(Arbeitsplan!$AK$10:$AK$21,Arbeitsplan!$C$10:$C$21,K12)</f>
        <v>142.50000000000003</v>
      </c>
      <c r="N12" s="6">
        <f>SUMIFS(Arbeitsplan!$AO$10:$AO$21,Arbeitsplan!$C$10:$C$21,K12)</f>
        <v>2921.2500000000005</v>
      </c>
      <c r="O12" s="2">
        <f>SUMIFS(Arbeitsplan!$AL$10:$AL$21,Arbeitsplan!$C$10:$C$21,K12)</f>
        <v>0</v>
      </c>
      <c r="P12" s="2">
        <f>SUMIFS(Arbeitsplan!$AM$10:$AM$21,Arbeitsplan!$C$10:$C$21,K12)</f>
        <v>0</v>
      </c>
    </row>
    <row r="13" spans="1:17" x14ac:dyDescent="0.25">
      <c r="A13" s="4" t="str">
        <f>Arbeitsplan!B14</f>
        <v>Thomas Wagner</v>
      </c>
      <c r="B13" s="4" t="str">
        <f>Arbeitsplan!C14</f>
        <v>Verkauf</v>
      </c>
      <c r="C13" s="8">
        <f>Arbeitsplan!AJ14</f>
        <v>110</v>
      </c>
      <c r="D13" s="8">
        <f>Arbeitsplan!AK14</f>
        <v>127.49999999999997</v>
      </c>
      <c r="E13" s="8">
        <f>Arbeitsplan!AN14</f>
        <v>17.499999999999972</v>
      </c>
      <c r="F13" s="8">
        <f>Arbeitsplan!AL14</f>
        <v>2</v>
      </c>
      <c r="G13" s="8">
        <f>Arbeitsplan!AM14</f>
        <v>0</v>
      </c>
      <c r="H13" s="6">
        <f>Arbeitsplan!AO14</f>
        <v>2154.7499999999995</v>
      </c>
      <c r="I13" s="2" t="str">
        <f>Arbeitsplan!AP14</f>
        <v>Überplant</v>
      </c>
    </row>
    <row r="14" spans="1:17" x14ac:dyDescent="0.25">
      <c r="A14" s="4" t="str">
        <f>Arbeitsplan!B15</f>
        <v>Julia Fischer</v>
      </c>
      <c r="B14" s="4" t="str">
        <f>Arbeitsplan!C15</f>
        <v>Service</v>
      </c>
      <c r="C14" s="8">
        <f>Arbeitsplan!AJ15</f>
        <v>154</v>
      </c>
      <c r="D14" s="8">
        <f>Arbeitsplan!AK15</f>
        <v>157.5</v>
      </c>
      <c r="E14" s="8">
        <f>Arbeitsplan!AN15</f>
        <v>3.5</v>
      </c>
      <c r="F14" s="8">
        <f>Arbeitsplan!AL15</f>
        <v>0</v>
      </c>
      <c r="G14" s="8">
        <f>Arbeitsplan!AM15</f>
        <v>0</v>
      </c>
      <c r="H14" s="6">
        <f>Arbeitsplan!AO15</f>
        <v>2835</v>
      </c>
      <c r="I14" s="2" t="str">
        <f>Arbeitsplan!AP15</f>
        <v>Überplant</v>
      </c>
    </row>
    <row r="15" spans="1:17" x14ac:dyDescent="0.25">
      <c r="A15" s="4" t="str">
        <f>Arbeitsplan!B16</f>
        <v>Michael Schneider</v>
      </c>
      <c r="B15" s="4" t="str">
        <f>Arbeitsplan!C16</f>
        <v>Lager</v>
      </c>
      <c r="C15" s="8">
        <f>Arbeitsplan!AJ16</f>
        <v>176</v>
      </c>
      <c r="D15" s="8">
        <f>Arbeitsplan!AK16</f>
        <v>172.50000000000006</v>
      </c>
      <c r="E15" s="8">
        <f>Arbeitsplan!AN16</f>
        <v>-3.4999999999999432</v>
      </c>
      <c r="F15" s="8">
        <f>Arbeitsplan!AL16</f>
        <v>0</v>
      </c>
      <c r="G15" s="8">
        <f>Arbeitsplan!AM16</f>
        <v>0</v>
      </c>
      <c r="H15" s="6">
        <f>Arbeitsplan!AO16</f>
        <v>3156.7500000000014</v>
      </c>
      <c r="I15" s="2" t="str">
        <f>Arbeitsplan!AP16</f>
        <v>Unterplant</v>
      </c>
    </row>
    <row r="16" spans="1:17" x14ac:dyDescent="0.25">
      <c r="A16" s="4" t="str">
        <f>Arbeitsplan!B17</f>
        <v>Sophie Klein</v>
      </c>
      <c r="B16" s="4" t="str">
        <f>Arbeitsplan!C17</f>
        <v>Verwaltung</v>
      </c>
      <c r="C16" s="8">
        <f>Arbeitsplan!AJ17</f>
        <v>88</v>
      </c>
      <c r="D16" s="8">
        <f>Arbeitsplan!AK17</f>
        <v>142.50000000000003</v>
      </c>
      <c r="E16" s="8">
        <f>Arbeitsplan!AN17</f>
        <v>54.500000000000028</v>
      </c>
      <c r="F16" s="8">
        <f>Arbeitsplan!AL17</f>
        <v>0</v>
      </c>
      <c r="G16" s="8">
        <f>Arbeitsplan!AM17</f>
        <v>0</v>
      </c>
      <c r="H16" s="6">
        <f>Arbeitsplan!AO17</f>
        <v>2921.2500000000005</v>
      </c>
      <c r="I16" s="2" t="str">
        <f>Arbeitsplan!AP17</f>
        <v>Überplant</v>
      </c>
    </row>
    <row r="18" spans="1:5" x14ac:dyDescent="0.25">
      <c r="A18" s="15" t="s">
        <v>124</v>
      </c>
      <c r="B18" s="15" t="s">
        <v>125</v>
      </c>
      <c r="C18" s="15" t="s">
        <v>126</v>
      </c>
      <c r="D18" s="15" t="s">
        <v>127</v>
      </c>
      <c r="E18" s="15" t="s">
        <v>119</v>
      </c>
    </row>
    <row r="19" spans="1:5" x14ac:dyDescent="0.25">
      <c r="A19" s="2">
        <f>Arbeitsplan!E$8</f>
        <v>1</v>
      </c>
      <c r="B19" s="2" t="str">
        <f>Arbeitsplan!E$9</f>
        <v>Do</v>
      </c>
      <c r="C19" s="2">
        <f>COUNTIF(Arbeitsplan!E$10:E$21,"F")+COUNTIF(Arbeitsplan!E$10:E$21,"S")+COUNTIF(Arbeitsplan!E$10:E$21,"N")+COUNTIF(Arbeitsplan!E$10:E$21,"T")</f>
        <v>8</v>
      </c>
      <c r="D19" s="2">
        <f>Einstellungen!$B$10</f>
        <v>3</v>
      </c>
      <c r="E19" s="2" t="str">
        <f t="shared" ref="E19:E49" si="0">IF(A19="","",IF(C19&gt;=D19,"OK","Unterbesetzt"))</f>
        <v>OK</v>
      </c>
    </row>
    <row r="20" spans="1:5" x14ac:dyDescent="0.25">
      <c r="A20" s="2">
        <f>Arbeitsplan!F$8</f>
        <v>2</v>
      </c>
      <c r="B20" s="2" t="str">
        <f>Arbeitsplan!F$9</f>
        <v>Fr</v>
      </c>
      <c r="C20" s="2">
        <f>COUNTIF(Arbeitsplan!F$10:F$21,"F")+COUNTIF(Arbeitsplan!F$10:F$21,"S")+COUNTIF(Arbeitsplan!F$10:F$21,"N")+COUNTIF(Arbeitsplan!F$10:F$21,"T")</f>
        <v>8</v>
      </c>
      <c r="D20" s="2">
        <f>Einstellungen!$B$10</f>
        <v>3</v>
      </c>
      <c r="E20" s="2" t="str">
        <f t="shared" si="0"/>
        <v>OK</v>
      </c>
    </row>
    <row r="21" spans="1:5" x14ac:dyDescent="0.25">
      <c r="A21" s="2">
        <f>Arbeitsplan!G$8</f>
        <v>3</v>
      </c>
      <c r="B21" s="2" t="str">
        <f>Arbeitsplan!G$9</f>
        <v>Sa</v>
      </c>
      <c r="C21" s="2">
        <f>COUNTIF(Arbeitsplan!G$10:G$21,"F")+COUNTIF(Arbeitsplan!G$10:G$21,"S")+COUNTIF(Arbeitsplan!G$10:G$21,"N")+COUNTIF(Arbeitsplan!G$10:G$21,"T")</f>
        <v>7</v>
      </c>
      <c r="D21" s="2">
        <f>Einstellungen!$B$10</f>
        <v>3</v>
      </c>
      <c r="E21" s="2" t="str">
        <f t="shared" si="0"/>
        <v>OK</v>
      </c>
    </row>
    <row r="22" spans="1:5" x14ac:dyDescent="0.25">
      <c r="A22" s="2">
        <f>Arbeitsplan!H$8</f>
        <v>4</v>
      </c>
      <c r="B22" s="2" t="str">
        <f>Arbeitsplan!H$9</f>
        <v>So</v>
      </c>
      <c r="C22" s="2">
        <f>COUNTIF(Arbeitsplan!H$10:H$21,"F")+COUNTIF(Arbeitsplan!H$10:H$21,"S")+COUNTIF(Arbeitsplan!H$10:H$21,"N")+COUNTIF(Arbeitsplan!H$10:H$21,"T")</f>
        <v>6</v>
      </c>
      <c r="D22" s="2">
        <f>Einstellungen!$B$10</f>
        <v>3</v>
      </c>
      <c r="E22" s="2" t="str">
        <f t="shared" si="0"/>
        <v>OK</v>
      </c>
    </row>
    <row r="23" spans="1:5" x14ac:dyDescent="0.25">
      <c r="A23" s="2">
        <f>Arbeitsplan!I$8</f>
        <v>5</v>
      </c>
      <c r="B23" s="2" t="str">
        <f>Arbeitsplan!I$9</f>
        <v>Mo</v>
      </c>
      <c r="C23" s="2">
        <f>COUNTIF(Arbeitsplan!I$10:I$21,"F")+COUNTIF(Arbeitsplan!I$10:I$21,"S")+COUNTIF(Arbeitsplan!I$10:I$21,"N")+COUNTIF(Arbeitsplan!I$10:I$21,"T")</f>
        <v>5</v>
      </c>
      <c r="D23" s="2">
        <f>Einstellungen!$B$10</f>
        <v>3</v>
      </c>
      <c r="E23" s="2" t="str">
        <f t="shared" si="0"/>
        <v>OK</v>
      </c>
    </row>
    <row r="24" spans="1:5" x14ac:dyDescent="0.25">
      <c r="A24" s="2">
        <f>Arbeitsplan!J$8</f>
        <v>6</v>
      </c>
      <c r="B24" s="2" t="str">
        <f>Arbeitsplan!J$9</f>
        <v>Di</v>
      </c>
      <c r="C24" s="2">
        <f>COUNTIF(Arbeitsplan!J$10:J$21,"F")+COUNTIF(Arbeitsplan!J$10:J$21,"S")+COUNTIF(Arbeitsplan!J$10:J$21,"N")+COUNTIF(Arbeitsplan!J$10:J$21,"T")</f>
        <v>2</v>
      </c>
      <c r="D24" s="2">
        <f>Einstellungen!$B$10</f>
        <v>3</v>
      </c>
      <c r="E24" s="2" t="str">
        <f t="shared" si="0"/>
        <v>Unterbesetzt</v>
      </c>
    </row>
    <row r="25" spans="1:5" x14ac:dyDescent="0.25">
      <c r="A25" s="2">
        <f>Arbeitsplan!K$8</f>
        <v>7</v>
      </c>
      <c r="B25" s="2" t="str">
        <f>Arbeitsplan!K$9</f>
        <v>Mi</v>
      </c>
      <c r="C25" s="2">
        <f>COUNTIF(Arbeitsplan!K$10:K$21,"F")+COUNTIF(Arbeitsplan!K$10:K$21,"S")+COUNTIF(Arbeitsplan!K$10:K$21,"N")+COUNTIF(Arbeitsplan!K$10:K$21,"T")</f>
        <v>3</v>
      </c>
      <c r="D25" s="2">
        <f>Einstellungen!$B$10</f>
        <v>3</v>
      </c>
      <c r="E25" s="2" t="str">
        <f t="shared" si="0"/>
        <v>OK</v>
      </c>
    </row>
    <row r="26" spans="1:5" x14ac:dyDescent="0.25">
      <c r="A26" s="2">
        <f>Arbeitsplan!L$8</f>
        <v>8</v>
      </c>
      <c r="B26" s="2" t="str">
        <f>Arbeitsplan!L$9</f>
        <v>Do</v>
      </c>
      <c r="C26" s="2">
        <f>COUNTIF(Arbeitsplan!L$10:L$21,"F")+COUNTIF(Arbeitsplan!L$10:L$21,"S")+COUNTIF(Arbeitsplan!L$10:L$21,"N")+COUNTIF(Arbeitsplan!L$10:L$21,"T")</f>
        <v>7</v>
      </c>
      <c r="D26" s="2">
        <f>Einstellungen!$B$10</f>
        <v>3</v>
      </c>
      <c r="E26" s="2" t="str">
        <f t="shared" si="0"/>
        <v>OK</v>
      </c>
    </row>
    <row r="27" spans="1:5" x14ac:dyDescent="0.25">
      <c r="A27" s="2">
        <f>Arbeitsplan!M$8</f>
        <v>9</v>
      </c>
      <c r="B27" s="2" t="str">
        <f>Arbeitsplan!M$9</f>
        <v>Fr</v>
      </c>
      <c r="C27" s="2">
        <f>COUNTIF(Arbeitsplan!M$10:M$21,"F")+COUNTIF(Arbeitsplan!M$10:M$21,"S")+COUNTIF(Arbeitsplan!M$10:M$21,"N")+COUNTIF(Arbeitsplan!M$10:M$21,"T")</f>
        <v>7</v>
      </c>
      <c r="D27" s="2">
        <f>Einstellungen!$B$10</f>
        <v>3</v>
      </c>
      <c r="E27" s="2" t="str">
        <f t="shared" si="0"/>
        <v>OK</v>
      </c>
    </row>
    <row r="28" spans="1:5" x14ac:dyDescent="0.25">
      <c r="A28" s="2">
        <f>Arbeitsplan!N$8</f>
        <v>10</v>
      </c>
      <c r="B28" s="2" t="str">
        <f>Arbeitsplan!N$9</f>
        <v>Sa</v>
      </c>
      <c r="C28" s="2">
        <f>COUNTIF(Arbeitsplan!N$10:N$21,"F")+COUNTIF(Arbeitsplan!N$10:N$21,"S")+COUNTIF(Arbeitsplan!N$10:N$21,"N")+COUNTIF(Arbeitsplan!N$10:N$21,"T")</f>
        <v>8</v>
      </c>
      <c r="D28" s="2">
        <f>Einstellungen!$B$10</f>
        <v>3</v>
      </c>
      <c r="E28" s="2" t="str">
        <f t="shared" si="0"/>
        <v>OK</v>
      </c>
    </row>
    <row r="29" spans="1:5" x14ac:dyDescent="0.25">
      <c r="A29" s="2">
        <f>Arbeitsplan!O$8</f>
        <v>11</v>
      </c>
      <c r="B29" s="2" t="str">
        <f>Arbeitsplan!O$9</f>
        <v>So</v>
      </c>
      <c r="C29" s="2">
        <f>COUNTIF(Arbeitsplan!O$10:O$21,"F")+COUNTIF(Arbeitsplan!O$10:O$21,"S")+COUNTIF(Arbeitsplan!O$10:O$21,"N")+COUNTIF(Arbeitsplan!O$10:O$21,"T")</f>
        <v>6</v>
      </c>
      <c r="D29" s="2">
        <f>Einstellungen!$B$10</f>
        <v>3</v>
      </c>
      <c r="E29" s="2" t="str">
        <f t="shared" si="0"/>
        <v>OK</v>
      </c>
    </row>
    <row r="30" spans="1:5" x14ac:dyDescent="0.25">
      <c r="A30" s="2">
        <f>Arbeitsplan!P$8</f>
        <v>12</v>
      </c>
      <c r="B30" s="2" t="str">
        <f>Arbeitsplan!P$9</f>
        <v>Mo</v>
      </c>
      <c r="C30" s="2">
        <f>COUNTIF(Arbeitsplan!P$10:P$21,"F")+COUNTIF(Arbeitsplan!P$10:P$21,"S")+COUNTIF(Arbeitsplan!P$10:P$21,"N")+COUNTIF(Arbeitsplan!P$10:P$21,"T")</f>
        <v>6</v>
      </c>
      <c r="D30" s="2">
        <f>Einstellungen!$B$10</f>
        <v>3</v>
      </c>
      <c r="E30" s="2" t="str">
        <f t="shared" si="0"/>
        <v>OK</v>
      </c>
    </row>
    <row r="31" spans="1:5" x14ac:dyDescent="0.25">
      <c r="A31" s="2">
        <f>Arbeitsplan!Q$8</f>
        <v>13</v>
      </c>
      <c r="B31" s="2" t="str">
        <f>Arbeitsplan!Q$9</f>
        <v>Di</v>
      </c>
      <c r="C31" s="2">
        <f>COUNTIF(Arbeitsplan!Q$10:Q$21,"F")+COUNTIF(Arbeitsplan!Q$10:Q$21,"S")+COUNTIF(Arbeitsplan!Q$10:Q$21,"N")+COUNTIF(Arbeitsplan!Q$10:Q$21,"T")</f>
        <v>2</v>
      </c>
      <c r="D31" s="2">
        <f>Einstellungen!$B$10</f>
        <v>3</v>
      </c>
      <c r="E31" s="2" t="str">
        <f t="shared" si="0"/>
        <v>Unterbesetzt</v>
      </c>
    </row>
    <row r="32" spans="1:5" x14ac:dyDescent="0.25">
      <c r="A32" s="2">
        <f>Arbeitsplan!R$8</f>
        <v>14</v>
      </c>
      <c r="B32" s="2" t="str">
        <f>Arbeitsplan!R$9</f>
        <v>Mi</v>
      </c>
      <c r="C32" s="2">
        <f>COUNTIF(Arbeitsplan!R$10:R$21,"F")+COUNTIF(Arbeitsplan!R$10:R$21,"S")+COUNTIF(Arbeitsplan!R$10:R$21,"N")+COUNTIF(Arbeitsplan!R$10:R$21,"T")</f>
        <v>2</v>
      </c>
      <c r="D32" s="2">
        <f>Einstellungen!$B$10</f>
        <v>3</v>
      </c>
      <c r="E32" s="2" t="str">
        <f t="shared" si="0"/>
        <v>Unterbesetzt</v>
      </c>
    </row>
    <row r="33" spans="1:5" x14ac:dyDescent="0.25">
      <c r="A33" s="2">
        <f>Arbeitsplan!S$8</f>
        <v>15</v>
      </c>
      <c r="B33" s="2" t="str">
        <f>Arbeitsplan!S$9</f>
        <v>Do</v>
      </c>
      <c r="C33" s="2">
        <f>COUNTIF(Arbeitsplan!S$10:S$21,"F")+COUNTIF(Arbeitsplan!S$10:S$21,"S")+COUNTIF(Arbeitsplan!S$10:S$21,"N")+COUNTIF(Arbeitsplan!S$10:S$21,"T")</f>
        <v>6</v>
      </c>
      <c r="D33" s="2">
        <f>Einstellungen!$B$10</f>
        <v>3</v>
      </c>
      <c r="E33" s="2" t="str">
        <f t="shared" si="0"/>
        <v>OK</v>
      </c>
    </row>
    <row r="34" spans="1:5" x14ac:dyDescent="0.25">
      <c r="A34" s="2">
        <f>Arbeitsplan!T$8</f>
        <v>16</v>
      </c>
      <c r="B34" s="2" t="str">
        <f>Arbeitsplan!T$9</f>
        <v>Fr</v>
      </c>
      <c r="C34" s="2">
        <f>COUNTIF(Arbeitsplan!T$10:T$21,"F")+COUNTIF(Arbeitsplan!T$10:T$21,"S")+COUNTIF(Arbeitsplan!T$10:T$21,"N")+COUNTIF(Arbeitsplan!T$10:T$21,"T")</f>
        <v>7</v>
      </c>
      <c r="D34" s="2">
        <f>Einstellungen!$B$10</f>
        <v>3</v>
      </c>
      <c r="E34" s="2" t="str">
        <f t="shared" si="0"/>
        <v>OK</v>
      </c>
    </row>
    <row r="35" spans="1:5" x14ac:dyDescent="0.25">
      <c r="A35" s="2">
        <f>Arbeitsplan!U$8</f>
        <v>17</v>
      </c>
      <c r="B35" s="2" t="str">
        <f>Arbeitsplan!U$9</f>
        <v>Sa</v>
      </c>
      <c r="C35" s="2">
        <f>COUNTIF(Arbeitsplan!U$10:U$21,"F")+COUNTIF(Arbeitsplan!U$10:U$21,"S")+COUNTIF(Arbeitsplan!U$10:U$21,"N")+COUNTIF(Arbeitsplan!U$10:U$21,"T")</f>
        <v>7</v>
      </c>
      <c r="D35" s="2">
        <f>Einstellungen!$B$10</f>
        <v>3</v>
      </c>
      <c r="E35" s="2" t="str">
        <f t="shared" si="0"/>
        <v>OK</v>
      </c>
    </row>
    <row r="36" spans="1:5" x14ac:dyDescent="0.25">
      <c r="A36" s="2">
        <f>Arbeitsplan!V$8</f>
        <v>18</v>
      </c>
      <c r="B36" s="2" t="str">
        <f>Arbeitsplan!V$9</f>
        <v>So</v>
      </c>
      <c r="C36" s="2">
        <f>COUNTIF(Arbeitsplan!V$10:V$21,"F")+COUNTIF(Arbeitsplan!V$10:V$21,"S")+COUNTIF(Arbeitsplan!V$10:V$21,"N")+COUNTIF(Arbeitsplan!V$10:V$21,"T")</f>
        <v>5</v>
      </c>
      <c r="D36" s="2">
        <f>Einstellungen!$B$10</f>
        <v>3</v>
      </c>
      <c r="E36" s="2" t="str">
        <f t="shared" si="0"/>
        <v>OK</v>
      </c>
    </row>
    <row r="37" spans="1:5" x14ac:dyDescent="0.25">
      <c r="A37" s="2">
        <f>Arbeitsplan!W$8</f>
        <v>19</v>
      </c>
      <c r="B37" s="2" t="str">
        <f>Arbeitsplan!W$9</f>
        <v>Mo</v>
      </c>
      <c r="C37" s="2">
        <f>COUNTIF(Arbeitsplan!W$10:W$21,"F")+COUNTIF(Arbeitsplan!W$10:W$21,"S")+COUNTIF(Arbeitsplan!W$10:W$21,"N")+COUNTIF(Arbeitsplan!W$10:W$21,"T")</f>
        <v>5</v>
      </c>
      <c r="D37" s="2">
        <f>Einstellungen!$B$10</f>
        <v>3</v>
      </c>
      <c r="E37" s="2" t="str">
        <f t="shared" si="0"/>
        <v>OK</v>
      </c>
    </row>
    <row r="38" spans="1:5" x14ac:dyDescent="0.25">
      <c r="A38" s="2">
        <f>Arbeitsplan!X$8</f>
        <v>20</v>
      </c>
      <c r="B38" s="2" t="str">
        <f>Arbeitsplan!X$9</f>
        <v>Di</v>
      </c>
      <c r="C38" s="2">
        <f>COUNTIF(Arbeitsplan!X$10:X$21,"F")+COUNTIF(Arbeitsplan!X$10:X$21,"S")+COUNTIF(Arbeitsplan!X$10:X$21,"N")+COUNTIF(Arbeitsplan!X$10:X$21,"T")</f>
        <v>4</v>
      </c>
      <c r="D38" s="2">
        <f>Einstellungen!$B$10</f>
        <v>3</v>
      </c>
      <c r="E38" s="2" t="str">
        <f t="shared" si="0"/>
        <v>OK</v>
      </c>
    </row>
    <row r="39" spans="1:5" x14ac:dyDescent="0.25">
      <c r="A39" s="2">
        <f>Arbeitsplan!Y$8</f>
        <v>21</v>
      </c>
      <c r="B39" s="2" t="str">
        <f>Arbeitsplan!Y$9</f>
        <v>Mi</v>
      </c>
      <c r="C39" s="2">
        <f>COUNTIF(Arbeitsplan!Y$10:Y$21,"F")+COUNTIF(Arbeitsplan!Y$10:Y$21,"S")+COUNTIF(Arbeitsplan!Y$10:Y$21,"N")+COUNTIF(Arbeitsplan!Y$10:Y$21,"T")</f>
        <v>4</v>
      </c>
      <c r="D39" s="2">
        <f>Einstellungen!$B$10</f>
        <v>3</v>
      </c>
      <c r="E39" s="2" t="str">
        <f t="shared" si="0"/>
        <v>OK</v>
      </c>
    </row>
    <row r="40" spans="1:5" x14ac:dyDescent="0.25">
      <c r="A40" s="2">
        <f>Arbeitsplan!Z$8</f>
        <v>22</v>
      </c>
      <c r="B40" s="2" t="str">
        <f>Arbeitsplan!Z$9</f>
        <v>Do</v>
      </c>
      <c r="C40" s="2">
        <f>COUNTIF(Arbeitsplan!Z$10:Z$21,"F")+COUNTIF(Arbeitsplan!Z$10:Z$21,"S")+COUNTIF(Arbeitsplan!Z$10:Z$21,"N")+COUNTIF(Arbeitsplan!Z$10:Z$21,"T")</f>
        <v>6</v>
      </c>
      <c r="D40" s="2">
        <f>Einstellungen!$B$10</f>
        <v>3</v>
      </c>
      <c r="E40" s="2" t="str">
        <f t="shared" si="0"/>
        <v>OK</v>
      </c>
    </row>
    <row r="41" spans="1:5" x14ac:dyDescent="0.25">
      <c r="A41" s="2">
        <f>Arbeitsplan!AA$8</f>
        <v>23</v>
      </c>
      <c r="B41" s="2" t="str">
        <f>Arbeitsplan!AA$9</f>
        <v>Fr</v>
      </c>
      <c r="C41" s="2">
        <f>COUNTIF(Arbeitsplan!AA$10:AA$21,"F")+COUNTIF(Arbeitsplan!AA$10:AA$21,"S")+COUNTIF(Arbeitsplan!AA$10:AA$21,"N")+COUNTIF(Arbeitsplan!AA$10:AA$21,"T")</f>
        <v>5</v>
      </c>
      <c r="D41" s="2">
        <f>Einstellungen!$B$10</f>
        <v>3</v>
      </c>
      <c r="E41" s="2" t="str">
        <f t="shared" si="0"/>
        <v>OK</v>
      </c>
    </row>
    <row r="42" spans="1:5" x14ac:dyDescent="0.25">
      <c r="A42" s="2">
        <f>Arbeitsplan!AB$8</f>
        <v>24</v>
      </c>
      <c r="B42" s="2" t="str">
        <f>Arbeitsplan!AB$9</f>
        <v>Sa</v>
      </c>
      <c r="C42" s="2">
        <f>COUNTIF(Arbeitsplan!AB$10:AB$21,"F")+COUNTIF(Arbeitsplan!AB$10:AB$21,"S")+COUNTIF(Arbeitsplan!AB$10:AB$21,"N")+COUNTIF(Arbeitsplan!AB$10:AB$21,"T")</f>
        <v>6</v>
      </c>
      <c r="D42" s="2">
        <f>Einstellungen!$B$10</f>
        <v>3</v>
      </c>
      <c r="E42" s="2" t="str">
        <f t="shared" si="0"/>
        <v>OK</v>
      </c>
    </row>
    <row r="43" spans="1:5" x14ac:dyDescent="0.25">
      <c r="A43" s="2">
        <f>Arbeitsplan!AC$8</f>
        <v>25</v>
      </c>
      <c r="B43" s="2" t="str">
        <f>Arbeitsplan!AC$9</f>
        <v>So</v>
      </c>
      <c r="C43" s="2">
        <f>COUNTIF(Arbeitsplan!AC$10:AC$21,"F")+COUNTIF(Arbeitsplan!AC$10:AC$21,"S")+COUNTIF(Arbeitsplan!AC$10:AC$21,"N")+COUNTIF(Arbeitsplan!AC$10:AC$21,"T")</f>
        <v>7</v>
      </c>
      <c r="D43" s="2">
        <f>Einstellungen!$B$10</f>
        <v>3</v>
      </c>
      <c r="E43" s="2" t="str">
        <f t="shared" si="0"/>
        <v>OK</v>
      </c>
    </row>
    <row r="44" spans="1:5" x14ac:dyDescent="0.25">
      <c r="A44" s="2">
        <f>Arbeitsplan!AD$8</f>
        <v>26</v>
      </c>
      <c r="B44" s="2" t="str">
        <f>Arbeitsplan!AD$9</f>
        <v>Mo</v>
      </c>
      <c r="C44" s="2">
        <f>COUNTIF(Arbeitsplan!AD$10:AD$21,"F")+COUNTIF(Arbeitsplan!AD$10:AD$21,"S")+COUNTIF(Arbeitsplan!AD$10:AD$21,"N")+COUNTIF(Arbeitsplan!AD$10:AD$21,"T")</f>
        <v>5</v>
      </c>
      <c r="D44" s="2">
        <f>Einstellungen!$B$10</f>
        <v>3</v>
      </c>
      <c r="E44" s="2" t="str">
        <f t="shared" si="0"/>
        <v>OK</v>
      </c>
    </row>
    <row r="45" spans="1:5" x14ac:dyDescent="0.25">
      <c r="A45" s="2">
        <f>Arbeitsplan!AE$8</f>
        <v>27</v>
      </c>
      <c r="B45" s="2" t="str">
        <f>Arbeitsplan!AE$9</f>
        <v>Di</v>
      </c>
      <c r="C45" s="2">
        <f>COUNTIF(Arbeitsplan!AE$10:AE$21,"F")+COUNTIF(Arbeitsplan!AE$10:AE$21,"S")+COUNTIF(Arbeitsplan!AE$10:AE$21,"N")+COUNTIF(Arbeitsplan!AE$10:AE$21,"T")</f>
        <v>4</v>
      </c>
      <c r="D45" s="2">
        <f>Einstellungen!$B$10</f>
        <v>3</v>
      </c>
      <c r="E45" s="2" t="str">
        <f t="shared" si="0"/>
        <v>OK</v>
      </c>
    </row>
    <row r="46" spans="1:5" x14ac:dyDescent="0.25">
      <c r="A46" s="2">
        <f>Arbeitsplan!AF$8</f>
        <v>28</v>
      </c>
      <c r="B46" s="2" t="str">
        <f>Arbeitsplan!AF$9</f>
        <v>Mi</v>
      </c>
      <c r="C46" s="2">
        <f>COUNTIF(Arbeitsplan!AF$10:AF$21,"F")+COUNTIF(Arbeitsplan!AF$10:AF$21,"S")+COUNTIF(Arbeitsplan!AF$10:AF$21,"N")+COUNTIF(Arbeitsplan!AF$10:AF$21,"T")</f>
        <v>4</v>
      </c>
      <c r="D46" s="2">
        <f>Einstellungen!$B$10</f>
        <v>3</v>
      </c>
      <c r="E46" s="2" t="str">
        <f t="shared" si="0"/>
        <v>OK</v>
      </c>
    </row>
    <row r="47" spans="1:5" x14ac:dyDescent="0.25">
      <c r="A47" s="2">
        <f>Arbeitsplan!AG$8</f>
        <v>29</v>
      </c>
      <c r="B47" s="2" t="str">
        <f>Arbeitsplan!AG$9</f>
        <v>Do</v>
      </c>
      <c r="C47" s="2">
        <f>COUNTIF(Arbeitsplan!AG$10:AG$21,"F")+COUNTIF(Arbeitsplan!AG$10:AG$21,"S")+COUNTIF(Arbeitsplan!AG$10:AG$21,"N")+COUNTIF(Arbeitsplan!AG$10:AG$21,"T")</f>
        <v>5</v>
      </c>
      <c r="D47" s="2">
        <f>Einstellungen!$B$10</f>
        <v>3</v>
      </c>
      <c r="E47" s="2" t="str">
        <f t="shared" si="0"/>
        <v>OK</v>
      </c>
    </row>
    <row r="48" spans="1:5" x14ac:dyDescent="0.25">
      <c r="A48" s="2">
        <f>Arbeitsplan!AH$8</f>
        <v>30</v>
      </c>
      <c r="B48" s="2" t="str">
        <f>Arbeitsplan!AH$9</f>
        <v>Fr</v>
      </c>
      <c r="C48" s="2">
        <f>COUNTIF(Arbeitsplan!AH$10:AH$21,"F")+COUNTIF(Arbeitsplan!AH$10:AH$21,"S")+COUNTIF(Arbeitsplan!AH$10:AH$21,"N")+COUNTIF(Arbeitsplan!AH$10:AH$21,"T")</f>
        <v>5</v>
      </c>
      <c r="D48" s="2">
        <f>Einstellungen!$B$10</f>
        <v>3</v>
      </c>
      <c r="E48" s="2" t="str">
        <f t="shared" si="0"/>
        <v>OK</v>
      </c>
    </row>
    <row r="49" spans="1:5" x14ac:dyDescent="0.25">
      <c r="A49" s="2">
        <f>Arbeitsplan!AI$8</f>
        <v>31</v>
      </c>
      <c r="B49" s="2" t="str">
        <f>Arbeitsplan!AI$9</f>
        <v>Sa</v>
      </c>
      <c r="C49" s="2">
        <f>COUNTIF(Arbeitsplan!AI$10:AI$21,"F")+COUNTIF(Arbeitsplan!AI$10:AI$21,"S")+COUNTIF(Arbeitsplan!AI$10:AI$21,"N")+COUNTIF(Arbeitsplan!AI$10:AI$21,"T")</f>
        <v>7</v>
      </c>
      <c r="D49" s="2">
        <f>Einstellungen!$B$10</f>
        <v>3</v>
      </c>
      <c r="E49" s="2" t="str">
        <f t="shared" si="0"/>
        <v>OK</v>
      </c>
    </row>
  </sheetData>
  <mergeCells count="18">
    <mergeCell ref="O4:Q4"/>
    <mergeCell ref="O5:Q5"/>
    <mergeCell ref="A1:Q1"/>
    <mergeCell ref="A2:Q2"/>
    <mergeCell ref="A4:B4"/>
    <mergeCell ref="A5:B5"/>
    <mergeCell ref="C4:D4"/>
    <mergeCell ref="C5:D5"/>
    <mergeCell ref="E4:F4"/>
    <mergeCell ref="E5:F5"/>
    <mergeCell ref="G4:H4"/>
    <mergeCell ref="G5:H5"/>
    <mergeCell ref="I4:J4"/>
    <mergeCell ref="I5:J5"/>
    <mergeCell ref="K4:L4"/>
    <mergeCell ref="K5:L5"/>
    <mergeCell ref="M4:N4"/>
    <mergeCell ref="M5:N5"/>
  </mergeCells>
  <conditionalFormatting sqref="E19:E49">
    <cfRule type="containsText" dxfId="4" priority="4" operator="containsText" text="OK"/>
    <cfRule type="containsText" dxfId="3" priority="5" operator="containsText" text="Unterbesetzt"/>
  </conditionalFormatting>
  <conditionalFormatting sqref="I9:I16">
    <cfRule type="containsText" dxfId="2" priority="1" operator="containsText" text="OK"/>
    <cfRule type="containsText" dxfId="1" priority="2" operator="containsText" text="Unterplant"/>
    <cfRule type="containsText" dxfId="0" priority="3" operator="containsText" text="Überplant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Arbeitsplan</vt:lpstr>
      <vt:lpstr>Einstellungen</vt:lpstr>
      <vt:lpstr>Auswertung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2026-04-28T13:25:26Z</dcterms:modified>
</cp:coreProperties>
</file>