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3fe6cde8cfa45c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Kalender" sheetId="1" r:id="R0ac1b8fdcbbc4d1d"/>
  </x:sheets>
  <x:definedNames>
    <x:definedName name="_xlnm.Print_Area" localSheetId="0">'Kalender'!$A$1:$AR$39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d"/>
  </x:numFmts>
  <x:fonts count="9">
    <x:font>
      <x:sz val="11"/>
      <x:color theme="1"/>
      <x:name val="Calibri"/>
      <x:family val="2"/>
      <x:scheme val="minor"/>
    </x:font>
    <x:font>
      <x:b/>
      <x:sz val="18"/>
      <x:color rgb="00FFFFFF"/>
    </x:font>
    <x:font>
      <x:b/>
      <x:color rgb="00FFFFFF"/>
    </x:font>
    <x:font>
      <x:b/>
      <x:color rgb="0000484E"/>
    </x:font>
    <x:font>
      <x:i/>
      <x:color rgb="001F415A"/>
    </x:font>
    <x:font>
      <x:b/>
      <x:sz val="12"/>
      <x:color rgb="00FFFFFF"/>
    </x:font>
    <x:font>
      <x:b/>
      <x:sz val="10"/>
      <x:color rgb="00FFFFFF"/>
    </x:font>
    <x:font>
      <x:b/>
      <x:sz val="10"/>
      <x:color rgb="001F415A"/>
    </x:font>
    <x:font>
      <x:sz val="9"/>
      <x:color rgb="00000000"/>
    </x:font>
  </x:fonts>
  <x:fills count="5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DCEEEF"/>
      </x:patternFill>
    </x:fill>
    <x:fill>
      <x:patternFill patternType="solid">
        <x:fgColor rgb="001F415A"/>
      </x:patternFill>
    </x:fill>
  </x:fills>
  <x:borders count="9">
    <x:border>
      <x:left/>
      <x:right/>
      <x:top/>
      <x:bottom/>
      <x:diagonal/>
    </x:border>
    <x:border>
      <x:left style="medium">
        <x:color rgb="001F415A"/>
      </x:left>
      <x:right style="medium">
        <x:color rgb="001F415A"/>
      </x:right>
      <x:top style="medium">
        <x:color rgb="001F415A"/>
      </x:top>
      <x:bottom style="thin">
        <x:color rgb="008DA6B1"/>
      </x:bottom>
    </x:border>
    <x:border>
      <x:left style="thin">
        <x:color rgb="008DA6B1"/>
      </x:left>
      <x:right style="thin">
        <x:color rgb="008DA6B1"/>
      </x:right>
      <x:top style="thin">
        <x:color rgb="008DA6B1"/>
      </x:top>
      <x:bottom style="thin">
        <x:color rgb="008DA6B1"/>
      </x:bottom>
    </x:border>
    <x:border>
      <x:left/>
      <x:right style="medium">
        <x:color rgb="001F415A"/>
      </x:right>
      <x:top/>
      <x:bottom/>
    </x:border>
    <x:border>
      <x:left style="medium">
        <x:color rgb="001F415A"/>
      </x:left>
      <x:right style="thin">
        <x:color rgb="008DA6B1"/>
      </x:right>
      <x:top style="thin">
        <x:color rgb="008DA6B1"/>
      </x:top>
      <x:bottom style="thin">
        <x:color rgb="008DA6B1"/>
      </x:bottom>
    </x:border>
    <x:border>
      <x:left style="thin">
        <x:color rgb="008DA6B1"/>
      </x:left>
      <x:right style="medium">
        <x:color rgb="001F415A"/>
      </x:right>
      <x:top style="thin">
        <x:color rgb="008DA6B1"/>
      </x:top>
      <x:bottom style="thin">
        <x:color rgb="008DA6B1"/>
      </x:bottom>
    </x:border>
    <x:border>
      <x:left style="medium">
        <x:color rgb="001F415A"/>
      </x:left>
      <x:right style="thin">
        <x:color rgb="008DA6B1"/>
      </x:right>
      <x:top style="thin">
        <x:color rgb="008DA6B1"/>
      </x:top>
      <x:bottom style="medium">
        <x:color rgb="001F415A"/>
      </x:bottom>
    </x:border>
    <x:border>
      <x:left style="thin">
        <x:color rgb="008DA6B1"/>
      </x:left>
      <x:right style="thin">
        <x:color rgb="008DA6B1"/>
      </x:right>
      <x:top style="thin">
        <x:color rgb="008DA6B1"/>
      </x:top>
      <x:bottom style="medium">
        <x:color rgb="001F415A"/>
      </x:bottom>
    </x:border>
    <x:border>
      <x:left style="thin">
        <x:color rgb="008DA6B1"/>
      </x:left>
      <x:right style="medium">
        <x:color rgb="001F415A"/>
      </x:right>
      <x:top style="thin">
        <x:color rgb="008DA6B1"/>
      </x:top>
      <x:bottom style="medium">
        <x:color rgb="001F415A"/>
      </x:bottom>
    </x:border>
  </x:borders>
  <x:cellStyleXfs count="1">
    <x:xf numFmtId="0" fontId="0" fillId="0" borderId="0"/>
  </x:cellStyleXfs>
  <x:cellXfs count="17">
    <x:xf numFmtId="0" fontId="0" fillId="0" borderId="0" xfId="0"/>
    <x:xf numFmtId="0" fontId="1" fillId="2" borderId="0" xfId="0" applyAlignment="1">
      <x:alignment horizontal="center" vertical="center"/>
    </x:xf>
    <x:xf numFmtId="0" fontId="2" fillId="2" borderId="2" xfId="0" applyAlignment="1">
      <x:alignment horizontal="center" vertical="center"/>
    </x:xf>
    <x:xf numFmtId="1" fontId="3" fillId="3" borderId="2" xfId="0" applyAlignment="1">
      <x:alignment horizontal="center" vertical="center"/>
    </x:xf>
    <x:xf numFmtId="0" fontId="4" fillId="0" borderId="2" xfId="0" applyAlignment="1">
      <x:alignment horizontal="left" vertical="center"/>
    </x:xf>
    <x:xf numFmtId="0" fontId="5" fillId="2" borderId="1" xfId="0" applyAlignment="1">
      <x:alignment horizontal="center" vertical="center"/>
    </x:xf>
    <x:xf numFmtId="0" fontId="0" fillId="0" borderId="3" xfId="0"/>
    <x:xf numFmtId="0" fontId="6" fillId="4" borderId="4" xfId="0" applyAlignment="1">
      <x:alignment horizontal="center" vertical="center"/>
    </x:xf>
    <x:xf numFmtId="0" fontId="6" fillId="4" borderId="2" xfId="0" applyAlignment="1">
      <x:alignment horizontal="center" vertical="center"/>
    </x:xf>
    <x:xf numFmtId="164" fontId="7" fillId="0" borderId="4" xfId="0" applyAlignment="1">
      <x:alignment horizontal="center" vertical="center"/>
    </x:xf>
    <x:xf numFmtId="0" fontId="8" fillId="0" borderId="2" xfId="0" applyAlignment="1">
      <x:alignment horizontal="left" vertical="top" wrapText="1"/>
    </x:xf>
    <x:xf numFmtId="164" fontId="7" fillId="0" borderId="2" xfId="0" applyAlignment="1">
      <x:alignment horizontal="center" vertical="center"/>
    </x:xf>
    <x:xf numFmtId="0" fontId="8" fillId="0" borderId="5" xfId="0" applyAlignment="1">
      <x:alignment horizontal="left" vertical="top" wrapText="1"/>
    </x:xf>
    <x:xf numFmtId="164" fontId="7" fillId="0" borderId="6" xfId="0" applyAlignment="1">
      <x:alignment horizontal="center" vertical="center"/>
    </x:xf>
    <x:xf numFmtId="0" fontId="8" fillId="0" borderId="7" xfId="0" applyAlignment="1">
      <x:alignment horizontal="left" vertical="top" wrapText="1"/>
    </x:xf>
    <x:xf numFmtId="164" fontId="7" fillId="0" borderId="7" xfId="0" applyAlignment="1">
      <x:alignment horizontal="center" vertical="center"/>
    </x:xf>
    <x:xf numFmtId="0" fontId="8" fillId="0" borderId="8" xfId="0" applyAlignment="1">
      <x:alignment horizontal="left" vertical="top" wrapText="1"/>
    </x:xf>
  </x:cellXfs>
  <x:cellStyles count="1">
    <x:cellStyle name="Normal" xfId="0"/>
  </x:cellStyles>
  <x:dxfs count="3">
    <x:dxf>
      <x:fill>
        <x:patternFill>
          <x:bgColor rgb="00F3F6F8"/>
        </x:patternFill>
      </x:fill>
    </x:dxf>
    <x:dxf>
      <x:fill>
        <x:patternFill>
          <x:bgColor rgb="00D7E3EA"/>
        </x:patternFill>
      </x:fill>
    </x:dxf>
    <x:dxf>
      <x:fill>
        <x:patternFill>
          <x:bgColor rgb="00C7DDE3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77178f01e0e4c31" /><Relationship Type="http://schemas.openxmlformats.org/officeDocument/2006/relationships/theme" Target="/xl/theme/theme1.xml" Id="R68df8d297d024b72" /><Relationship Type="http://schemas.openxmlformats.org/officeDocument/2006/relationships/sharedStrings" Target="/xl/sharedStrings.xml" Id="Ra9de96a503214aaa" /><Relationship Type="http://schemas.openxmlformats.org/officeDocument/2006/relationships/worksheet" Target="/xl/worksheets/sheet1.xml" Id="R0ac1b8fdcbbc4d1d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4.199999809265137" customWidth="1"/>
    <x:col min="2" max="2" width="9" customWidth="1"/>
    <x:col min="3" max="3" width="4.199999809265137" customWidth="1"/>
    <x:col min="4" max="4" width="9" customWidth="1"/>
    <x:col min="5" max="5" width="4.199999809265137" customWidth="1"/>
    <x:col min="6" max="6" width="9" customWidth="1"/>
    <x:col min="7" max="7" width="4.199999809265137" customWidth="1"/>
    <x:col min="8" max="8" width="9" customWidth="1"/>
    <x:col min="9" max="9" width="4.199999809265137" customWidth="1"/>
    <x:col min="10" max="10" width="9" customWidth="1"/>
    <x:col min="11" max="11" width="4.199999809265137" customWidth="1"/>
    <x:col min="12" max="12" width="9" customWidth="1"/>
    <x:col min="13" max="13" width="4.199999809265137" customWidth="1"/>
    <x:col min="14" max="14" width="9" customWidth="1"/>
    <x:col min="15" max="15" width="2.5" customWidth="1"/>
    <x:col min="16" max="16" width="4.199999809265137" customWidth="1"/>
    <x:col min="17" max="17" width="9" customWidth="1"/>
    <x:col min="18" max="18" width="4.199999809265137" customWidth="1"/>
    <x:col min="19" max="19" width="9" customWidth="1"/>
    <x:col min="20" max="20" width="4.199999809265137" customWidth="1"/>
    <x:col min="21" max="21" width="9" customWidth="1"/>
    <x:col min="22" max="22" width="4.199999809265137" customWidth="1"/>
    <x:col min="23" max="23" width="9" customWidth="1"/>
    <x:col min="24" max="24" width="4.199999809265137" customWidth="1"/>
    <x:col min="25" max="25" width="9" customWidth="1"/>
    <x:col min="26" max="26" width="4.199999809265137" customWidth="1"/>
    <x:col min="27" max="27" width="9" customWidth="1"/>
    <x:col min="28" max="28" width="4.199999809265137" customWidth="1"/>
    <x:col min="29" max="29" width="9" customWidth="1"/>
    <x:col min="30" max="30" width="2.5" customWidth="1"/>
    <x:col min="31" max="31" width="4.199999809265137" customWidth="1"/>
    <x:col min="32" max="32" width="9" customWidth="1"/>
    <x:col min="33" max="33" width="4.199999809265137" customWidth="1"/>
    <x:col min="34" max="34" width="9" customWidth="1"/>
    <x:col min="35" max="35" width="4.199999809265137" customWidth="1"/>
    <x:col min="36" max="36" width="9" customWidth="1"/>
    <x:col min="37" max="37" width="4.199999809265137" customWidth="1"/>
    <x:col min="38" max="38" width="9" customWidth="1"/>
    <x:col min="39" max="39" width="4.199999809265137" customWidth="1"/>
    <x:col min="40" max="40" width="9" customWidth="1"/>
    <x:col min="41" max="41" width="4.199999809265137" customWidth="1"/>
    <x:col min="42" max="42" width="9" customWidth="1"/>
    <x:col min="43" max="43" width="4.199999809265137" customWidth="1"/>
    <x:col min="44" max="44" width="9" customWidth="1"/>
  </x:cols>
  <x:sheetData>
    <x:row r="1" ht="24" customHeight="1">
      <x:c r="A1" s="1" t="inlineStr">
        <x:is>
          <x:t xml:space="preserve">Dynamischer Jahreskalender</x:t>
        </x:is>
      </x:c>
    </x:row>
    <x:row r="2" ht="22" customHeight="1">
      <x:c r="A2" s="2" t="inlineStr">
        <x:is>
          <x:t xml:space="preserve">Jahr</x:t>
        </x:is>
      </x:c>
      <x:c r="B2" s="3" t="n">
        <x:v>2026</x:v>
      </x:c>
      <x:c r="D2" s="4" t="inlineStr">
        <x:is>
          <x:t xml:space="preserve">Jahr ändern – der Kalender aktualisiert sich automatisch. Beispieltermine können direkt überschrieben werden.</x:t>
        </x:is>
      </x:c>
    </x:row>
    <x:row r="3" ht="8" customHeight="1"/>
    <x:row r="4" ht="6" customHeight="1"/>
    <x:row r="5" ht="20" customHeight="1">
      <x:c r="A5" s="5" t="inlineStr">
        <x:is>
          <x:t xml:space="preserve">Januar</x:t>
        </x:is>
      </x:c>
      <x:c r="N5" s="6" t="n"/>
      <x:c r="P5" s="5" t="inlineStr">
        <x:is>
          <x:t xml:space="preserve">Februar</x:t>
        </x:is>
      </x:c>
      <x:c r="AC5" s="6" t="n"/>
      <x:c r="AE5" s="5" t="inlineStr">
        <x:is>
          <x:t xml:space="preserve">März</x:t>
        </x:is>
      </x:c>
      <x:c r="AR5" s="6" t="n"/>
    </x:row>
    <x:row r="6" ht="18" customHeight="1">
      <x:c r="A6" s="7" t="inlineStr">
        <x:is>
          <x:t xml:space="preserve">Mo</x:t>
        </x:is>
      </x:c>
      <x:c r="C6" s="8" t="inlineStr">
        <x:is>
          <x:t xml:space="preserve">Di</x:t>
        </x:is>
      </x:c>
      <x:c r="E6" s="8" t="inlineStr">
        <x:is>
          <x:t xml:space="preserve">Mi</x:t>
        </x:is>
      </x:c>
      <x:c r="G6" s="8" t="inlineStr">
        <x:is>
          <x:t xml:space="preserve">Do</x:t>
        </x:is>
      </x:c>
      <x:c r="I6" s="8" t="inlineStr">
        <x:is>
          <x:t xml:space="preserve">Fr</x:t>
        </x:is>
      </x:c>
      <x:c r="K6" s="8" t="inlineStr">
        <x:is>
          <x:t xml:space="preserve">Sa</x:t>
        </x:is>
      </x:c>
      <x:c r="M6" s="8" t="inlineStr">
        <x:is>
          <x:t xml:space="preserve">So</x:t>
        </x:is>
      </x:c>
      <x:c r="N6" s="6" t="n"/>
      <x:c r="P6" s="7" t="inlineStr">
        <x:is>
          <x:t xml:space="preserve">Mo</x:t>
        </x:is>
      </x:c>
      <x:c r="R6" s="8" t="inlineStr">
        <x:is>
          <x:t xml:space="preserve">Di</x:t>
        </x:is>
      </x:c>
      <x:c r="T6" s="8" t="inlineStr">
        <x:is>
          <x:t xml:space="preserve">Mi</x:t>
        </x:is>
      </x:c>
      <x:c r="V6" s="8" t="inlineStr">
        <x:is>
          <x:t xml:space="preserve">Do</x:t>
        </x:is>
      </x:c>
      <x:c r="X6" s="8" t="inlineStr">
        <x:is>
          <x:t xml:space="preserve">Fr</x:t>
        </x:is>
      </x:c>
      <x:c r="Z6" s="8" t="inlineStr">
        <x:is>
          <x:t xml:space="preserve">Sa</x:t>
        </x:is>
      </x:c>
      <x:c r="AB6" s="8" t="inlineStr">
        <x:is>
          <x:t xml:space="preserve">So</x:t>
        </x:is>
      </x:c>
      <x:c r="AC6" s="6" t="n"/>
      <x:c r="AE6" s="7" t="inlineStr">
        <x:is>
          <x:t xml:space="preserve">Mo</x:t>
        </x:is>
      </x:c>
      <x:c r="AG6" s="8" t="inlineStr">
        <x:is>
          <x:t xml:space="preserve">Di</x:t>
        </x:is>
      </x:c>
      <x:c r="AI6" s="8" t="inlineStr">
        <x:is>
          <x:t xml:space="preserve">Mi</x:t>
        </x:is>
      </x:c>
      <x:c r="AK6" s="8" t="inlineStr">
        <x:is>
          <x:t xml:space="preserve">Do</x:t>
        </x:is>
      </x:c>
      <x:c r="AM6" s="8" t="inlineStr">
        <x:is>
          <x:t xml:space="preserve">Fr</x:t>
        </x:is>
      </x:c>
      <x:c r="AO6" s="8" t="inlineStr">
        <x:is>
          <x:t xml:space="preserve">Sa</x:t>
        </x:is>
      </x:c>
      <x:c r="AQ6" s="8" t="inlineStr">
        <x:is>
          <x:t xml:space="preserve">So</x:t>
        </x:is>
      </x:c>
      <x:c r="AR6" s="6" t="n"/>
    </x:row>
    <x:row r="7" ht="24" customHeight="1">
      <x:c r="A7" s="9">
        <x:f>IF(MONTH(DATE($B$2,1,1)-WEEKDAY(DATE($B$2,1,1),2)+1+0)=1,DATE($B$2,1,1)-WEEKDAY(DATE($B$2,1,1),2)+1+0,"")</x:f>
      </x:c>
      <x:c r="B7" s="10" t="n"/>
      <x:c r="C7" s="11">
        <x:f>IF(MONTH(DATE($B$2,1,1)-WEEKDAY(DATE($B$2,1,1),2)+1+1)=1,DATE($B$2,1,1)-WEEKDAY(DATE($B$2,1,1),2)+1+1,"")</x:f>
      </x:c>
      <x:c r="D7" s="10" t="n"/>
      <x:c r="E7" s="11">
        <x:f>IF(MONTH(DATE($B$2,1,1)-WEEKDAY(DATE($B$2,1,1),2)+1+2)=1,DATE($B$2,1,1)-WEEKDAY(DATE($B$2,1,1),2)+1+2,"")</x:f>
      </x:c>
      <x:c r="F7" s="10" t="n"/>
      <x:c r="G7" s="11">
        <x:f>IF(MONTH(DATE($B$2,1,1)-WEEKDAY(DATE($B$2,1,1),2)+1+3)=1,DATE($B$2,1,1)-WEEKDAY(DATE($B$2,1,1),2)+1+3,"")</x:f>
        <x:v>46023</x:v>
      </x:c>
      <x:c r="H7" s="10" t="n"/>
      <x:c r="I7" s="11">
        <x:f>IF(MONTH(DATE($B$2,1,1)-WEEKDAY(DATE($B$2,1,1),2)+1+4)=1,DATE($B$2,1,1)-WEEKDAY(DATE($B$2,1,1),2)+1+4,"")</x:f>
        <x:v>46024</x:v>
      </x:c>
      <x:c r="J7" s="10" t="n"/>
      <x:c r="K7" s="11">
        <x:f>IF(MONTH(DATE($B$2,1,1)-WEEKDAY(DATE($B$2,1,1),2)+1+5)=1,DATE($B$2,1,1)-WEEKDAY(DATE($B$2,1,1),2)+1+5,"")</x:f>
        <x:v>46025</x:v>
      </x:c>
      <x:c r="L7" s="10" t="n"/>
      <x:c r="M7" s="11">
        <x:f>IF(MONTH(DATE($B$2,1,1)-WEEKDAY(DATE($B$2,1,1),2)+1+6)=1,DATE($B$2,1,1)-WEEKDAY(DATE($B$2,1,1),2)+1+6,"")</x:f>
        <x:v>46026</x:v>
      </x:c>
      <x:c r="N7" s="12" t="n"/>
      <x:c r="P7" s="9">
        <x:f>IF(MONTH(DATE($B$2,2,1)-WEEKDAY(DATE($B$2,2,1),2)+1+0)=2,DATE($B$2,2,1)-WEEKDAY(DATE($B$2,2,1),2)+1+0,"")</x:f>
      </x:c>
      <x:c r="Q7" s="10" t="n"/>
      <x:c r="R7" s="11">
        <x:f>IF(MONTH(DATE($B$2,2,1)-WEEKDAY(DATE($B$2,2,1),2)+1+1)=2,DATE($B$2,2,1)-WEEKDAY(DATE($B$2,2,1),2)+1+1,"")</x:f>
      </x:c>
      <x:c r="S7" s="10" t="n"/>
      <x:c r="T7" s="11">
        <x:f>IF(MONTH(DATE($B$2,2,1)-WEEKDAY(DATE($B$2,2,1),2)+1+2)=2,DATE($B$2,2,1)-WEEKDAY(DATE($B$2,2,1),2)+1+2,"")</x:f>
      </x:c>
      <x:c r="U7" s="10" t="n"/>
      <x:c r="V7" s="11">
        <x:f>IF(MONTH(DATE($B$2,2,1)-WEEKDAY(DATE($B$2,2,1),2)+1+3)=2,DATE($B$2,2,1)-WEEKDAY(DATE($B$2,2,1),2)+1+3,"")</x:f>
      </x:c>
      <x:c r="W7" s="10" t="n"/>
      <x:c r="X7" s="11">
        <x:f>IF(MONTH(DATE($B$2,2,1)-WEEKDAY(DATE($B$2,2,1),2)+1+4)=2,DATE($B$2,2,1)-WEEKDAY(DATE($B$2,2,1),2)+1+4,"")</x:f>
      </x:c>
      <x:c r="Y7" s="10" t="n"/>
      <x:c r="Z7" s="11">
        <x:f>IF(MONTH(DATE($B$2,2,1)-WEEKDAY(DATE($B$2,2,1),2)+1+5)=2,DATE($B$2,2,1)-WEEKDAY(DATE($B$2,2,1),2)+1+5,"")</x:f>
      </x:c>
      <x:c r="AA7" s="10" t="n"/>
      <x:c r="AB7" s="11">
        <x:f>IF(MONTH(DATE($B$2,2,1)-WEEKDAY(DATE($B$2,2,1),2)+1+6)=2,DATE($B$2,2,1)-WEEKDAY(DATE($B$2,2,1),2)+1+6,"")</x:f>
        <x:v>46054</x:v>
      </x:c>
      <x:c r="AC7" s="12" t="n"/>
      <x:c r="AE7" s="9">
        <x:f>IF(MONTH(DATE($B$2,3,1)-WEEKDAY(DATE($B$2,3,1),2)+1+0)=3,DATE($B$2,3,1)-WEEKDAY(DATE($B$2,3,1),2)+1+0,"")</x:f>
      </x:c>
      <x:c r="AF7" s="10" t="n"/>
      <x:c r="AG7" s="11">
        <x:f>IF(MONTH(DATE($B$2,3,1)-WEEKDAY(DATE($B$2,3,1),2)+1+1)=3,DATE($B$2,3,1)-WEEKDAY(DATE($B$2,3,1),2)+1+1,"")</x:f>
      </x:c>
      <x:c r="AH7" s="10" t="n"/>
      <x:c r="AI7" s="11">
        <x:f>IF(MONTH(DATE($B$2,3,1)-WEEKDAY(DATE($B$2,3,1),2)+1+2)=3,DATE($B$2,3,1)-WEEKDAY(DATE($B$2,3,1),2)+1+2,"")</x:f>
      </x:c>
      <x:c r="AJ7" s="10" t="n"/>
      <x:c r="AK7" s="11">
        <x:f>IF(MONTH(DATE($B$2,3,1)-WEEKDAY(DATE($B$2,3,1),2)+1+3)=3,DATE($B$2,3,1)-WEEKDAY(DATE($B$2,3,1),2)+1+3,"")</x:f>
      </x:c>
      <x:c r="AL7" s="10" t="n"/>
      <x:c r="AM7" s="11">
        <x:f>IF(MONTH(DATE($B$2,3,1)-WEEKDAY(DATE($B$2,3,1),2)+1+4)=3,DATE($B$2,3,1)-WEEKDAY(DATE($B$2,3,1),2)+1+4,"")</x:f>
      </x:c>
      <x:c r="AN7" s="10" t="n"/>
      <x:c r="AO7" s="11">
        <x:f>IF(MONTH(DATE($B$2,3,1)-WEEKDAY(DATE($B$2,3,1),2)+1+5)=3,DATE($B$2,3,1)-WEEKDAY(DATE($B$2,3,1),2)+1+5,"")</x:f>
      </x:c>
      <x:c r="AP7" s="10" t="n"/>
      <x:c r="AQ7" s="11">
        <x:f>IF(MONTH(DATE($B$2,3,1)-WEEKDAY(DATE($B$2,3,1),2)+1+6)=3,DATE($B$2,3,1)-WEEKDAY(DATE($B$2,3,1),2)+1+6,"")</x:f>
        <x:v>46082</x:v>
      </x:c>
      <x:c r="AR7" s="12" t="n"/>
    </x:row>
    <x:row r="8" ht="24" customHeight="1">
      <x:c r="A8" s="9">
        <x:f>IF(MONTH(DATE($B$2,1,1)-WEEKDAY(DATE($B$2,1,1),2)+1+7)=1,DATE($B$2,1,1)-WEEKDAY(DATE($B$2,1,1),2)+1+7,"")</x:f>
        <x:v>46027</x:v>
      </x:c>
      <x:c r="B8" s="10" t="inlineStr">
        <x:is>
          <x:t xml:space="preserve">Projektstart</x:t>
        </x:is>
      </x:c>
      <x:c r="C8" s="11">
        <x:f>IF(MONTH(DATE($B$2,1,1)-WEEKDAY(DATE($B$2,1,1),2)+1+8)=1,DATE($B$2,1,1)-WEEKDAY(DATE($B$2,1,1),2)+1+8,"")</x:f>
        <x:v>46028</x:v>
      </x:c>
      <x:c r="D8" s="10" t="n"/>
      <x:c r="E8" s="11">
        <x:f>IF(MONTH(DATE($B$2,1,1)-WEEKDAY(DATE($B$2,1,1),2)+1+9)=1,DATE($B$2,1,1)-WEEKDAY(DATE($B$2,1,1),2)+1+9,"")</x:f>
        <x:v>46029</x:v>
      </x:c>
      <x:c r="F8" s="10" t="n"/>
      <x:c r="G8" s="11">
        <x:f>IF(MONTH(DATE($B$2,1,1)-WEEKDAY(DATE($B$2,1,1),2)+1+10)=1,DATE($B$2,1,1)-WEEKDAY(DATE($B$2,1,1),2)+1+10,"")</x:f>
        <x:v>46030</x:v>
      </x:c>
      <x:c r="H8" s="10" t="n"/>
      <x:c r="I8" s="11">
        <x:f>IF(MONTH(DATE($B$2,1,1)-WEEKDAY(DATE($B$2,1,1),2)+1+11)=1,DATE($B$2,1,1)-WEEKDAY(DATE($B$2,1,1),2)+1+11,"")</x:f>
        <x:v>46031</x:v>
      </x:c>
      <x:c r="J8" s="10" t="n"/>
      <x:c r="K8" s="11">
        <x:f>IF(MONTH(DATE($B$2,1,1)-WEEKDAY(DATE($B$2,1,1),2)+1+12)=1,DATE($B$2,1,1)-WEEKDAY(DATE($B$2,1,1),2)+1+12,"")</x:f>
        <x:v>46032</x:v>
      </x:c>
      <x:c r="L8" s="10" t="n"/>
      <x:c r="M8" s="11">
        <x:f>IF(MONTH(DATE($B$2,1,1)-WEEKDAY(DATE($B$2,1,1),2)+1+13)=1,DATE($B$2,1,1)-WEEKDAY(DATE($B$2,1,1),2)+1+13,"")</x:f>
        <x:v>46033</x:v>
      </x:c>
      <x:c r="N8" s="12" t="n"/>
      <x:c r="P8" s="9">
        <x:f>IF(MONTH(DATE($B$2,2,1)-WEEKDAY(DATE($B$2,2,1),2)+1+7)=2,DATE($B$2,2,1)-WEEKDAY(DATE($B$2,2,1),2)+1+7,"")</x:f>
        <x:v>46055</x:v>
      </x:c>
      <x:c r="Q8" s="10" t="n"/>
      <x:c r="R8" s="11">
        <x:f>IF(MONTH(DATE($B$2,2,1)-WEEKDAY(DATE($B$2,2,1),2)+1+8)=2,DATE($B$2,2,1)-WEEKDAY(DATE($B$2,2,1),2)+1+8,"")</x:f>
        <x:v>46056</x:v>
      </x:c>
      <x:c r="S8" s="10" t="inlineStr">
        <x:is>
          <x:t xml:space="preserve">Arzttermin</x:t>
        </x:is>
      </x:c>
      <x:c r="T8" s="11">
        <x:f>IF(MONTH(DATE($B$2,2,1)-WEEKDAY(DATE($B$2,2,1),2)+1+9)=2,DATE($B$2,2,1)-WEEKDAY(DATE($B$2,2,1),2)+1+9,"")</x:f>
        <x:v>46057</x:v>
      </x:c>
      <x:c r="U8" s="10" t="n"/>
      <x:c r="V8" s="11">
        <x:f>IF(MONTH(DATE($B$2,2,1)-WEEKDAY(DATE($B$2,2,1),2)+1+10)=2,DATE($B$2,2,1)-WEEKDAY(DATE($B$2,2,1),2)+1+10,"")</x:f>
        <x:v>46058</x:v>
      </x:c>
      <x:c r="W8" s="10" t="n"/>
      <x:c r="X8" s="11">
        <x:f>IF(MONTH(DATE($B$2,2,1)-WEEKDAY(DATE($B$2,2,1),2)+1+11)=2,DATE($B$2,2,1)-WEEKDAY(DATE($B$2,2,1),2)+1+11,"")</x:f>
        <x:v>46059</x:v>
      </x:c>
      <x:c r="Y8" s="10" t="n"/>
      <x:c r="Z8" s="11">
        <x:f>IF(MONTH(DATE($B$2,2,1)-WEEKDAY(DATE($B$2,2,1),2)+1+12)=2,DATE($B$2,2,1)-WEEKDAY(DATE($B$2,2,1),2)+1+12,"")</x:f>
        <x:v>46060</x:v>
      </x:c>
      <x:c r="AA8" s="10" t="n"/>
      <x:c r="AB8" s="11">
        <x:f>IF(MONTH(DATE($B$2,2,1)-WEEKDAY(DATE($B$2,2,1),2)+1+13)=2,DATE($B$2,2,1)-WEEKDAY(DATE($B$2,2,1),2)+1+13,"")</x:f>
        <x:v>46061</x:v>
      </x:c>
      <x:c r="AC8" s="12" t="n"/>
      <x:c r="AE8" s="9">
        <x:f>IF(MONTH(DATE($B$2,3,1)-WEEKDAY(DATE($B$2,3,1),2)+1+7)=3,DATE($B$2,3,1)-WEEKDAY(DATE($B$2,3,1),2)+1+7,"")</x:f>
        <x:v>46083</x:v>
      </x:c>
      <x:c r="AF8" s="10" t="inlineStr">
        <x:is>
          <x:t xml:space="preserve">Bericht fertig</x:t>
        </x:is>
      </x:c>
      <x:c r="AG8" s="11">
        <x:f>IF(MONTH(DATE($B$2,3,1)-WEEKDAY(DATE($B$2,3,1),2)+1+8)=3,DATE($B$2,3,1)-WEEKDAY(DATE($B$2,3,1),2)+1+8,"")</x:f>
        <x:v>46084</x:v>
      </x:c>
      <x:c r="AH8" s="10" t="n"/>
      <x:c r="AI8" s="11">
        <x:f>IF(MONTH(DATE($B$2,3,1)-WEEKDAY(DATE($B$2,3,1),2)+1+9)=3,DATE($B$2,3,1)-WEEKDAY(DATE($B$2,3,1),2)+1+9,"")</x:f>
        <x:v>46085</x:v>
      </x:c>
      <x:c r="AJ8" s="10" t="n"/>
      <x:c r="AK8" s="11">
        <x:f>IF(MONTH(DATE($B$2,3,1)-WEEKDAY(DATE($B$2,3,1),2)+1+10)=3,DATE($B$2,3,1)-WEEKDAY(DATE($B$2,3,1),2)+1+10,"")</x:f>
        <x:v>46086</x:v>
      </x:c>
      <x:c r="AL8" s="10" t="n"/>
      <x:c r="AM8" s="11">
        <x:f>IF(MONTH(DATE($B$2,3,1)-WEEKDAY(DATE($B$2,3,1),2)+1+11)=3,DATE($B$2,3,1)-WEEKDAY(DATE($B$2,3,1),2)+1+11,"")</x:f>
        <x:v>46087</x:v>
      </x:c>
      <x:c r="AN8" s="10" t="n"/>
      <x:c r="AO8" s="11">
        <x:f>IF(MONTH(DATE($B$2,3,1)-WEEKDAY(DATE($B$2,3,1),2)+1+12)=3,DATE($B$2,3,1)-WEEKDAY(DATE($B$2,3,1),2)+1+12,"")</x:f>
        <x:v>46088</x:v>
      </x:c>
      <x:c r="AP8" s="10" t="n"/>
      <x:c r="AQ8" s="11">
        <x:f>IF(MONTH(DATE($B$2,3,1)-WEEKDAY(DATE($B$2,3,1),2)+1+13)=3,DATE($B$2,3,1)-WEEKDAY(DATE($B$2,3,1),2)+1+13,"")</x:f>
        <x:v>46089</x:v>
      </x:c>
      <x:c r="AR8" s="12" t="n"/>
    </x:row>
    <x:row r="9" ht="24" customHeight="1">
      <x:c r="A9" s="9">
        <x:f>IF(MONTH(DATE($B$2,1,1)-WEEKDAY(DATE($B$2,1,1),2)+1+14)=1,DATE($B$2,1,1)-WEEKDAY(DATE($B$2,1,1),2)+1+14,"")</x:f>
        <x:v>46034</x:v>
      </x:c>
      <x:c r="B9" s="10" t="inlineStr">
        <x:is>
          <x:t xml:space="preserve">Teammeeting 10:00</x:t>
        </x:is>
      </x:c>
      <x:c r="C9" s="11">
        <x:f>IF(MONTH(DATE($B$2,1,1)-WEEKDAY(DATE($B$2,1,1),2)+1+15)=1,DATE($B$2,1,1)-WEEKDAY(DATE($B$2,1,1),2)+1+15,"")</x:f>
        <x:v>46035</x:v>
      </x:c>
      <x:c r="D9" s="10" t="n"/>
      <x:c r="E9" s="11">
        <x:f>IF(MONTH(DATE($B$2,1,1)-WEEKDAY(DATE($B$2,1,1),2)+1+16)=1,DATE($B$2,1,1)-WEEKDAY(DATE($B$2,1,1),2)+1+16,"")</x:f>
        <x:v>46036</x:v>
      </x:c>
      <x:c r="F9" s="10" t="n"/>
      <x:c r="G9" s="11">
        <x:f>IF(MONTH(DATE($B$2,1,1)-WEEKDAY(DATE($B$2,1,1),2)+1+17)=1,DATE($B$2,1,1)-WEEKDAY(DATE($B$2,1,1),2)+1+17,"")</x:f>
        <x:v>46037</x:v>
      </x:c>
      <x:c r="H9" s="10" t="n"/>
      <x:c r="I9" s="11">
        <x:f>IF(MONTH(DATE($B$2,1,1)-WEEKDAY(DATE($B$2,1,1),2)+1+18)=1,DATE($B$2,1,1)-WEEKDAY(DATE($B$2,1,1),2)+1+18,"")</x:f>
        <x:v>46038</x:v>
      </x:c>
      <x:c r="J9" s="10" t="n"/>
      <x:c r="K9" s="11">
        <x:f>IF(MONTH(DATE($B$2,1,1)-WEEKDAY(DATE($B$2,1,1),2)+1+19)=1,DATE($B$2,1,1)-WEEKDAY(DATE($B$2,1,1),2)+1+19,"")</x:f>
        <x:v>46039</x:v>
      </x:c>
      <x:c r="L9" s="10" t="n"/>
      <x:c r="M9" s="11">
        <x:f>IF(MONTH(DATE($B$2,1,1)-WEEKDAY(DATE($B$2,1,1),2)+1+20)=1,DATE($B$2,1,1)-WEEKDAY(DATE($B$2,1,1),2)+1+20,"")</x:f>
        <x:v>46040</x:v>
      </x:c>
      <x:c r="N9" s="12" t="n"/>
      <x:c r="P9" s="9">
        <x:f>IF(MONTH(DATE($B$2,2,1)-WEEKDAY(DATE($B$2,2,1),2)+1+14)=2,DATE($B$2,2,1)-WEEKDAY(DATE($B$2,2,1),2)+1+14,"")</x:f>
        <x:v>46062</x:v>
      </x:c>
      <x:c r="Q9" s="10" t="n"/>
      <x:c r="R9" s="11">
        <x:f>IF(MONTH(DATE($B$2,2,1)-WEEKDAY(DATE($B$2,2,1),2)+1+15)=2,DATE($B$2,2,1)-WEEKDAY(DATE($B$2,2,1),2)+1+15,"")</x:f>
        <x:v>46063</x:v>
      </x:c>
      <x:c r="S9" s="10" t="n"/>
      <x:c r="T9" s="11">
        <x:f>IF(MONTH(DATE($B$2,2,1)-WEEKDAY(DATE($B$2,2,1),2)+1+16)=2,DATE($B$2,2,1)-WEEKDAY(DATE($B$2,2,1),2)+1+16,"")</x:f>
        <x:v>46064</x:v>
      </x:c>
      <x:c r="U9" s="10" t="n"/>
      <x:c r="V9" s="11">
        <x:f>IF(MONTH(DATE($B$2,2,1)-WEEKDAY(DATE($B$2,2,1),2)+1+17)=2,DATE($B$2,2,1)-WEEKDAY(DATE($B$2,2,1),2)+1+17,"")</x:f>
        <x:v>46065</x:v>
      </x:c>
      <x:c r="W9" s="10" t="n"/>
      <x:c r="X9" s="11">
        <x:f>IF(MONTH(DATE($B$2,2,1)-WEEKDAY(DATE($B$2,2,1),2)+1+18)=2,DATE($B$2,2,1)-WEEKDAY(DATE($B$2,2,1),2)+1+18,"")</x:f>
        <x:v>46066</x:v>
      </x:c>
      <x:c r="Y9" s="10" t="n"/>
      <x:c r="Z9" s="11">
        <x:f>IF(MONTH(DATE($B$2,2,1)-WEEKDAY(DATE($B$2,2,1),2)+1+19)=2,DATE($B$2,2,1)-WEEKDAY(DATE($B$2,2,1),2)+1+19,"")</x:f>
        <x:v>46067</x:v>
      </x:c>
      <x:c r="AA9" s="10" t="inlineStr">
        <x:is>
          <x:t xml:space="preserve">Urlaub</x:t>
        </x:is>
      </x:c>
      <x:c r="AB9" s="11">
        <x:f>IF(MONTH(DATE($B$2,2,1)-WEEKDAY(DATE($B$2,2,1),2)+1+20)=2,DATE($B$2,2,1)-WEEKDAY(DATE($B$2,2,1),2)+1+20,"")</x:f>
        <x:v>46068</x:v>
      </x:c>
      <x:c r="AC9" s="12" t="n"/>
      <x:c r="AE9" s="9">
        <x:f>IF(MONTH(DATE($B$2,3,1)-WEEKDAY(DATE($B$2,3,1),2)+1+14)=3,DATE($B$2,3,1)-WEEKDAY(DATE($B$2,3,1),2)+1+14,"")</x:f>
        <x:v>46090</x:v>
      </x:c>
      <x:c r="AF9" s="10" t="n"/>
      <x:c r="AG9" s="11">
        <x:f>IF(MONTH(DATE($B$2,3,1)-WEEKDAY(DATE($B$2,3,1),2)+1+15)=3,DATE($B$2,3,1)-WEEKDAY(DATE($B$2,3,1),2)+1+15,"")</x:f>
        <x:v>46091</x:v>
      </x:c>
      <x:c r="AH9" s="10" t="n"/>
      <x:c r="AI9" s="11">
        <x:f>IF(MONTH(DATE($B$2,3,1)-WEEKDAY(DATE($B$2,3,1),2)+1+16)=3,DATE($B$2,3,1)-WEEKDAY(DATE($B$2,3,1),2)+1+16,"")</x:f>
        <x:v>46092</x:v>
      </x:c>
      <x:c r="AJ9" s="10" t="n"/>
      <x:c r="AK9" s="11">
        <x:f>IF(MONTH(DATE($B$2,3,1)-WEEKDAY(DATE($B$2,3,1),2)+1+17)=3,DATE($B$2,3,1)-WEEKDAY(DATE($B$2,3,1),2)+1+17,"")</x:f>
        <x:v>46093</x:v>
      </x:c>
      <x:c r="AL9" s="10" t="n"/>
      <x:c r="AM9" s="11">
        <x:f>IF(MONTH(DATE($B$2,3,1)-WEEKDAY(DATE($B$2,3,1),2)+1+18)=3,DATE($B$2,3,1)-WEEKDAY(DATE($B$2,3,1),2)+1+18,"")</x:f>
        <x:v>46094</x:v>
      </x:c>
      <x:c r="AN9" s="10" t="n"/>
      <x:c r="AO9" s="11">
        <x:f>IF(MONTH(DATE($B$2,3,1)-WEEKDAY(DATE($B$2,3,1),2)+1+19)=3,DATE($B$2,3,1)-WEEKDAY(DATE($B$2,3,1),2)+1+19,"")</x:f>
        <x:v>46095</x:v>
      </x:c>
      <x:c r="AP9" s="10" t="n"/>
      <x:c r="AQ9" s="11">
        <x:f>IF(MONTH(DATE($B$2,3,1)-WEEKDAY(DATE($B$2,3,1),2)+1+20)=3,DATE($B$2,3,1)-WEEKDAY(DATE($B$2,3,1),2)+1+20,"")</x:f>
        <x:v>46096</x:v>
      </x:c>
      <x:c r="AR9" s="12" t="n"/>
    </x:row>
    <x:row r="10" ht="24" customHeight="1">
      <x:c r="A10" s="9">
        <x:f>IF(MONTH(DATE($B$2,1,1)-WEEKDAY(DATE($B$2,1,1),2)+1+21)=1,DATE($B$2,1,1)-WEEKDAY(DATE($B$2,1,1),2)+1+21,"")</x:f>
        <x:v>46041</x:v>
      </x:c>
      <x:c r="B10" s="10" t="n"/>
      <x:c r="C10" s="11">
        <x:f>IF(MONTH(DATE($B$2,1,1)-WEEKDAY(DATE($B$2,1,1),2)+1+22)=1,DATE($B$2,1,1)-WEEKDAY(DATE($B$2,1,1),2)+1+22,"")</x:f>
        <x:v>46042</x:v>
      </x:c>
      <x:c r="D10" s="10" t="n"/>
      <x:c r="E10" s="11">
        <x:f>IF(MONTH(DATE($B$2,1,1)-WEEKDAY(DATE($B$2,1,1),2)+1+23)=1,DATE($B$2,1,1)-WEEKDAY(DATE($B$2,1,1),2)+1+23,"")</x:f>
        <x:v>46043</x:v>
      </x:c>
      <x:c r="F10" s="10" t="n"/>
      <x:c r="G10" s="11">
        <x:f>IF(MONTH(DATE($B$2,1,1)-WEEKDAY(DATE($B$2,1,1),2)+1+24)=1,DATE($B$2,1,1)-WEEKDAY(DATE($B$2,1,1),2)+1+24,"")</x:f>
        <x:v>46044</x:v>
      </x:c>
      <x:c r="H10" s="10" t="n"/>
      <x:c r="I10" s="11">
        <x:f>IF(MONTH(DATE($B$2,1,1)-WEEKDAY(DATE($B$2,1,1),2)+1+25)=1,DATE($B$2,1,1)-WEEKDAY(DATE($B$2,1,1),2)+1+25,"")</x:f>
        <x:v>46045</x:v>
      </x:c>
      <x:c r="J10" s="10" t="n"/>
      <x:c r="K10" s="11">
        <x:f>IF(MONTH(DATE($B$2,1,1)-WEEKDAY(DATE($B$2,1,1),2)+1+26)=1,DATE($B$2,1,1)-WEEKDAY(DATE($B$2,1,1),2)+1+26,"")</x:f>
        <x:v>46046</x:v>
      </x:c>
      <x:c r="L10" s="10" t="n"/>
      <x:c r="M10" s="11">
        <x:f>IF(MONTH(DATE($B$2,1,1)-WEEKDAY(DATE($B$2,1,1),2)+1+27)=1,DATE($B$2,1,1)-WEEKDAY(DATE($B$2,1,1),2)+1+27,"")</x:f>
        <x:v>46047</x:v>
      </x:c>
      <x:c r="N10" s="12" t="n"/>
      <x:c r="P10" s="9">
        <x:f>IF(MONTH(DATE($B$2,2,1)-WEEKDAY(DATE($B$2,2,1),2)+1+21)=2,DATE($B$2,2,1)-WEEKDAY(DATE($B$2,2,1),2)+1+21,"")</x:f>
        <x:v>46069</x:v>
      </x:c>
      <x:c r="Q10" s="10" t="n"/>
      <x:c r="R10" s="11">
        <x:f>IF(MONTH(DATE($B$2,2,1)-WEEKDAY(DATE($B$2,2,1),2)+1+22)=2,DATE($B$2,2,1)-WEEKDAY(DATE($B$2,2,1),2)+1+22,"")</x:f>
        <x:v>46070</x:v>
      </x:c>
      <x:c r="S10" s="10" t="n"/>
      <x:c r="T10" s="11">
        <x:f>IF(MONTH(DATE($B$2,2,1)-WEEKDAY(DATE($B$2,2,1),2)+1+23)=2,DATE($B$2,2,1)-WEEKDAY(DATE($B$2,2,1),2)+1+23,"")</x:f>
        <x:v>46071</x:v>
      </x:c>
      <x:c r="U10" s="10" t="n"/>
      <x:c r="V10" s="11">
        <x:f>IF(MONTH(DATE($B$2,2,1)-WEEKDAY(DATE($B$2,2,1),2)+1+24)=2,DATE($B$2,2,1)-WEEKDAY(DATE($B$2,2,1),2)+1+24,"")</x:f>
        <x:v>46072</x:v>
      </x:c>
      <x:c r="W10" s="10" t="n"/>
      <x:c r="X10" s="11">
        <x:f>IF(MONTH(DATE($B$2,2,1)-WEEKDAY(DATE($B$2,2,1),2)+1+25)=2,DATE($B$2,2,1)-WEEKDAY(DATE($B$2,2,1),2)+1+25,"")</x:f>
        <x:v>46073</x:v>
      </x:c>
      <x:c r="Y10" s="10" t="n"/>
      <x:c r="Z10" s="11">
        <x:f>IF(MONTH(DATE($B$2,2,1)-WEEKDAY(DATE($B$2,2,1),2)+1+26)=2,DATE($B$2,2,1)-WEEKDAY(DATE($B$2,2,1),2)+1+26,"")</x:f>
        <x:v>46074</x:v>
      </x:c>
      <x:c r="AA10" s="10" t="n"/>
      <x:c r="AB10" s="11">
        <x:f>IF(MONTH(DATE($B$2,2,1)-WEEKDAY(DATE($B$2,2,1),2)+1+27)=2,DATE($B$2,2,1)-WEEKDAY(DATE($B$2,2,1),2)+1+27,"")</x:f>
        <x:v>46075</x:v>
      </x:c>
      <x:c r="AC10" s="12" t="n"/>
      <x:c r="AE10" s="9">
        <x:f>IF(MONTH(DATE($B$2,3,1)-WEEKDAY(DATE($B$2,3,1),2)+1+21)=3,DATE($B$2,3,1)-WEEKDAY(DATE($B$2,3,1),2)+1+21,"")</x:f>
        <x:v>46097</x:v>
      </x:c>
      <x:c r="AF10" s="10" t="n"/>
      <x:c r="AG10" s="11">
        <x:f>IF(MONTH(DATE($B$2,3,1)-WEEKDAY(DATE($B$2,3,1),2)+1+22)=3,DATE($B$2,3,1)-WEEKDAY(DATE($B$2,3,1),2)+1+22,"")</x:f>
        <x:v>46098</x:v>
      </x:c>
      <x:c r="AH10" s="10" t="n"/>
      <x:c r="AI10" s="11">
        <x:f>IF(MONTH(DATE($B$2,3,1)-WEEKDAY(DATE($B$2,3,1),2)+1+23)=3,DATE($B$2,3,1)-WEEKDAY(DATE($B$2,3,1),2)+1+23,"")</x:f>
        <x:v>46099</x:v>
      </x:c>
      <x:c r="AJ10" s="10" t="inlineStr">
        <x:is>
          <x:t xml:space="preserve">Kunden-Call</x:t>
        </x:is>
      </x:c>
      <x:c r="AK10" s="11">
        <x:f>IF(MONTH(DATE($B$2,3,1)-WEEKDAY(DATE($B$2,3,1),2)+1+24)=3,DATE($B$2,3,1)-WEEKDAY(DATE($B$2,3,1),2)+1+24,"")</x:f>
        <x:v>46100</x:v>
      </x:c>
      <x:c r="AL10" s="10" t="n"/>
      <x:c r="AM10" s="11">
        <x:f>IF(MONTH(DATE($B$2,3,1)-WEEKDAY(DATE($B$2,3,1),2)+1+25)=3,DATE($B$2,3,1)-WEEKDAY(DATE($B$2,3,1),2)+1+25,"")</x:f>
        <x:v>46101</x:v>
      </x:c>
      <x:c r="AN10" s="10" t="n"/>
      <x:c r="AO10" s="11">
        <x:f>IF(MONTH(DATE($B$2,3,1)-WEEKDAY(DATE($B$2,3,1),2)+1+26)=3,DATE($B$2,3,1)-WEEKDAY(DATE($B$2,3,1),2)+1+26,"")</x:f>
        <x:v>46102</x:v>
      </x:c>
      <x:c r="AP10" s="10" t="n"/>
      <x:c r="AQ10" s="11">
        <x:f>IF(MONTH(DATE($B$2,3,1)-WEEKDAY(DATE($B$2,3,1),2)+1+27)=3,DATE($B$2,3,1)-WEEKDAY(DATE($B$2,3,1),2)+1+27,"")</x:f>
        <x:v>46103</x:v>
      </x:c>
      <x:c r="AR10" s="12" t="n"/>
    </x:row>
    <x:row r="11" ht="24" customHeight="1">
      <x:c r="A11" s="9">
        <x:f>IF(MONTH(DATE($B$2,1,1)-WEEKDAY(DATE($B$2,1,1),2)+1+28)=1,DATE($B$2,1,1)-WEEKDAY(DATE($B$2,1,1),2)+1+28,"")</x:f>
        <x:v>46048</x:v>
      </x:c>
      <x:c r="B11" s="10" t="inlineStr">
        <x:is>
          <x:t xml:space="preserve">Rechnung senden</x:t>
        </x:is>
      </x:c>
      <x:c r="C11" s="11">
        <x:f>IF(MONTH(DATE($B$2,1,1)-WEEKDAY(DATE($B$2,1,1),2)+1+29)=1,DATE($B$2,1,1)-WEEKDAY(DATE($B$2,1,1),2)+1+29,"")</x:f>
        <x:v>46049</x:v>
      </x:c>
      <x:c r="D11" s="10" t="n"/>
      <x:c r="E11" s="11">
        <x:f>IF(MONTH(DATE($B$2,1,1)-WEEKDAY(DATE($B$2,1,1),2)+1+30)=1,DATE($B$2,1,1)-WEEKDAY(DATE($B$2,1,1),2)+1+30,"")</x:f>
        <x:v>46050</x:v>
      </x:c>
      <x:c r="F11" s="10" t="n"/>
      <x:c r="G11" s="11">
        <x:f>IF(MONTH(DATE($B$2,1,1)-WEEKDAY(DATE($B$2,1,1),2)+1+31)=1,DATE($B$2,1,1)-WEEKDAY(DATE($B$2,1,1),2)+1+31,"")</x:f>
        <x:v>46051</x:v>
      </x:c>
      <x:c r="H11" s="10" t="n"/>
      <x:c r="I11" s="11">
        <x:f>IF(MONTH(DATE($B$2,1,1)-WEEKDAY(DATE($B$2,1,1),2)+1+32)=1,DATE($B$2,1,1)-WEEKDAY(DATE($B$2,1,1),2)+1+32,"")</x:f>
        <x:v>46052</x:v>
      </x:c>
      <x:c r="J11" s="10" t="n"/>
      <x:c r="K11" s="11">
        <x:f>IF(MONTH(DATE($B$2,1,1)-WEEKDAY(DATE($B$2,1,1),2)+1+33)=1,DATE($B$2,1,1)-WEEKDAY(DATE($B$2,1,1),2)+1+33,"")</x:f>
        <x:v>46053</x:v>
      </x:c>
      <x:c r="L11" s="10" t="n"/>
      <x:c r="M11" s="11">
        <x:f>IF(MONTH(DATE($B$2,1,1)-WEEKDAY(DATE($B$2,1,1),2)+1+34)=1,DATE($B$2,1,1)-WEEKDAY(DATE($B$2,1,1),2)+1+34,"")</x:f>
      </x:c>
      <x:c r="N11" s="12" t="n"/>
      <x:c r="P11" s="9">
        <x:f>IF(MONTH(DATE($B$2,2,1)-WEEKDAY(DATE($B$2,2,1),2)+1+28)=2,DATE($B$2,2,1)-WEEKDAY(DATE($B$2,2,1),2)+1+28,"")</x:f>
        <x:v>46076</x:v>
      </x:c>
      <x:c r="Q11" s="10" t="n"/>
      <x:c r="R11" s="11">
        <x:f>IF(MONTH(DATE($B$2,2,1)-WEEKDAY(DATE($B$2,2,1),2)+1+29)=2,DATE($B$2,2,1)-WEEKDAY(DATE($B$2,2,1),2)+1+29,"")</x:f>
        <x:v>46077</x:v>
      </x:c>
      <x:c r="S11" s="10" t="n"/>
      <x:c r="T11" s="11">
        <x:f>IF(MONTH(DATE($B$2,2,1)-WEEKDAY(DATE($B$2,2,1),2)+1+30)=2,DATE($B$2,2,1)-WEEKDAY(DATE($B$2,2,1),2)+1+30,"")</x:f>
        <x:v>46078</x:v>
      </x:c>
      <x:c r="U11" s="10" t="inlineStr">
        <x:is>
          <x:t xml:space="preserve">Monatsreview</x:t>
        </x:is>
      </x:c>
      <x:c r="V11" s="11">
        <x:f>IF(MONTH(DATE($B$2,2,1)-WEEKDAY(DATE($B$2,2,1),2)+1+31)=2,DATE($B$2,2,1)-WEEKDAY(DATE($B$2,2,1),2)+1+31,"")</x:f>
        <x:v>46079</x:v>
      </x:c>
      <x:c r="W11" s="10" t="n"/>
      <x:c r="X11" s="11">
        <x:f>IF(MONTH(DATE($B$2,2,1)-WEEKDAY(DATE($B$2,2,1),2)+1+32)=2,DATE($B$2,2,1)-WEEKDAY(DATE($B$2,2,1),2)+1+32,"")</x:f>
        <x:v>46080</x:v>
      </x:c>
      <x:c r="Y11" s="10" t="n"/>
      <x:c r="Z11" s="11">
        <x:f>IF(MONTH(DATE($B$2,2,1)-WEEKDAY(DATE($B$2,2,1),2)+1+33)=2,DATE($B$2,2,1)-WEEKDAY(DATE($B$2,2,1),2)+1+33,"")</x:f>
        <x:v>46081</x:v>
      </x:c>
      <x:c r="AA11" s="10" t="n"/>
      <x:c r="AB11" s="11">
        <x:f>IF(MONTH(DATE($B$2,2,1)-WEEKDAY(DATE($B$2,2,1),2)+1+34)=2,DATE($B$2,2,1)-WEEKDAY(DATE($B$2,2,1),2)+1+34,"")</x:f>
      </x:c>
      <x:c r="AC11" s="12" t="n"/>
      <x:c r="AE11" s="9">
        <x:f>IF(MONTH(DATE($B$2,3,1)-WEEKDAY(DATE($B$2,3,1),2)+1+28)=3,DATE($B$2,3,1)-WEEKDAY(DATE($B$2,3,1),2)+1+28,"")</x:f>
        <x:v>46104</x:v>
      </x:c>
      <x:c r="AF11" s="10" t="n"/>
      <x:c r="AG11" s="11">
        <x:f>IF(MONTH(DATE($B$2,3,1)-WEEKDAY(DATE($B$2,3,1),2)+1+29)=3,DATE($B$2,3,1)-WEEKDAY(DATE($B$2,3,1),2)+1+29,"")</x:f>
        <x:v>46105</x:v>
      </x:c>
      <x:c r="AH11" s="10" t="n"/>
      <x:c r="AI11" s="11">
        <x:f>IF(MONTH(DATE($B$2,3,1)-WEEKDAY(DATE($B$2,3,1),2)+1+30)=3,DATE($B$2,3,1)-WEEKDAY(DATE($B$2,3,1),2)+1+30,"")</x:f>
        <x:v>46106</x:v>
      </x:c>
      <x:c r="AJ11" s="10" t="n"/>
      <x:c r="AK11" s="11">
        <x:f>IF(MONTH(DATE($B$2,3,1)-WEEKDAY(DATE($B$2,3,1),2)+1+31)=3,DATE($B$2,3,1)-WEEKDAY(DATE($B$2,3,1),2)+1+31,"")</x:f>
        <x:v>46107</x:v>
      </x:c>
      <x:c r="AL11" s="10" t="n"/>
      <x:c r="AM11" s="11">
        <x:f>IF(MONTH(DATE($B$2,3,1)-WEEKDAY(DATE($B$2,3,1),2)+1+32)=3,DATE($B$2,3,1)-WEEKDAY(DATE($B$2,3,1),2)+1+32,"")</x:f>
        <x:v>46108</x:v>
      </x:c>
      <x:c r="AN11" s="10" t="n"/>
      <x:c r="AO11" s="11">
        <x:f>IF(MONTH(DATE($B$2,3,1)-WEEKDAY(DATE($B$2,3,1),2)+1+33)=3,DATE($B$2,3,1)-WEEKDAY(DATE($B$2,3,1),2)+1+33,"")</x:f>
        <x:v>46109</x:v>
      </x:c>
      <x:c r="AP11" s="10" t="n"/>
      <x:c r="AQ11" s="11">
        <x:f>IF(MONTH(DATE($B$2,3,1)-WEEKDAY(DATE($B$2,3,1),2)+1+34)=3,DATE($B$2,3,1)-WEEKDAY(DATE($B$2,3,1),2)+1+34,"")</x:f>
        <x:v>46110</x:v>
      </x:c>
      <x:c r="AR11" s="12" t="n"/>
    </x:row>
    <x:row r="12" ht="24" customHeight="1">
      <x:c r="A12" s="13">
        <x:f>IF(MONTH(DATE($B$2,1,1)-WEEKDAY(DATE($B$2,1,1),2)+1+35)=1,DATE($B$2,1,1)-WEEKDAY(DATE($B$2,1,1),2)+1+35,"")</x:f>
      </x:c>
      <x:c r="B12" s="14" t="n"/>
      <x:c r="C12" s="15">
        <x:f>IF(MONTH(DATE($B$2,1,1)-WEEKDAY(DATE($B$2,1,1),2)+1+36)=1,DATE($B$2,1,1)-WEEKDAY(DATE($B$2,1,1),2)+1+36,"")</x:f>
      </x:c>
      <x:c r="D12" s="14" t="n"/>
      <x:c r="E12" s="15">
        <x:f>IF(MONTH(DATE($B$2,1,1)-WEEKDAY(DATE($B$2,1,1),2)+1+37)=1,DATE($B$2,1,1)-WEEKDAY(DATE($B$2,1,1),2)+1+37,"")</x:f>
      </x:c>
      <x:c r="F12" s="14" t="n"/>
      <x:c r="G12" s="15">
        <x:f>IF(MONTH(DATE($B$2,1,1)-WEEKDAY(DATE($B$2,1,1),2)+1+38)=1,DATE($B$2,1,1)-WEEKDAY(DATE($B$2,1,1),2)+1+38,"")</x:f>
      </x:c>
      <x:c r="H12" s="14" t="n"/>
      <x:c r="I12" s="15">
        <x:f>IF(MONTH(DATE($B$2,1,1)-WEEKDAY(DATE($B$2,1,1),2)+1+39)=1,DATE($B$2,1,1)-WEEKDAY(DATE($B$2,1,1),2)+1+39,"")</x:f>
      </x:c>
      <x:c r="J12" s="14" t="n"/>
      <x:c r="K12" s="15">
        <x:f>IF(MONTH(DATE($B$2,1,1)-WEEKDAY(DATE($B$2,1,1),2)+1+40)=1,DATE($B$2,1,1)-WEEKDAY(DATE($B$2,1,1),2)+1+40,"")</x:f>
      </x:c>
      <x:c r="L12" s="14" t="n"/>
      <x:c r="M12" s="15">
        <x:f>IF(MONTH(DATE($B$2,1,1)-WEEKDAY(DATE($B$2,1,1),2)+1+41)=1,DATE($B$2,1,1)-WEEKDAY(DATE($B$2,1,1),2)+1+41,"")</x:f>
      </x:c>
      <x:c r="N12" s="16" t="n"/>
      <x:c r="P12" s="13">
        <x:f>IF(MONTH(DATE($B$2,2,1)-WEEKDAY(DATE($B$2,2,1),2)+1+35)=2,DATE($B$2,2,1)-WEEKDAY(DATE($B$2,2,1),2)+1+35,"")</x:f>
      </x:c>
      <x:c r="Q12" s="14" t="n"/>
      <x:c r="R12" s="15">
        <x:f>IF(MONTH(DATE($B$2,2,1)-WEEKDAY(DATE($B$2,2,1),2)+1+36)=2,DATE($B$2,2,1)-WEEKDAY(DATE($B$2,2,1),2)+1+36,"")</x:f>
      </x:c>
      <x:c r="S12" s="14" t="n"/>
      <x:c r="T12" s="15">
        <x:f>IF(MONTH(DATE($B$2,2,1)-WEEKDAY(DATE($B$2,2,1),2)+1+37)=2,DATE($B$2,2,1)-WEEKDAY(DATE($B$2,2,1),2)+1+37,"")</x:f>
      </x:c>
      <x:c r="U12" s="14" t="n"/>
      <x:c r="V12" s="15">
        <x:f>IF(MONTH(DATE($B$2,2,1)-WEEKDAY(DATE($B$2,2,1),2)+1+38)=2,DATE($B$2,2,1)-WEEKDAY(DATE($B$2,2,1),2)+1+38,"")</x:f>
      </x:c>
      <x:c r="W12" s="14" t="n"/>
      <x:c r="X12" s="15">
        <x:f>IF(MONTH(DATE($B$2,2,1)-WEEKDAY(DATE($B$2,2,1),2)+1+39)=2,DATE($B$2,2,1)-WEEKDAY(DATE($B$2,2,1),2)+1+39,"")</x:f>
      </x:c>
      <x:c r="Y12" s="14" t="n"/>
      <x:c r="Z12" s="15">
        <x:f>IF(MONTH(DATE($B$2,2,1)-WEEKDAY(DATE($B$2,2,1),2)+1+40)=2,DATE($B$2,2,1)-WEEKDAY(DATE($B$2,2,1),2)+1+40,"")</x:f>
      </x:c>
      <x:c r="AA12" s="14" t="n"/>
      <x:c r="AB12" s="15">
        <x:f>IF(MONTH(DATE($B$2,2,1)-WEEKDAY(DATE($B$2,2,1),2)+1+41)=2,DATE($B$2,2,1)-WEEKDAY(DATE($B$2,2,1),2)+1+41,"")</x:f>
      </x:c>
      <x:c r="AC12" s="16" t="n"/>
      <x:c r="AE12" s="13">
        <x:f>IF(MONTH(DATE($B$2,3,1)-WEEKDAY(DATE($B$2,3,1),2)+1+35)=3,DATE($B$2,3,1)-WEEKDAY(DATE($B$2,3,1),2)+1+35,"")</x:f>
        <x:v>46111</x:v>
      </x:c>
      <x:c r="AF12" s="14" t="inlineStr">
        <x:is>
          <x:t xml:space="preserve">Reise buchen</x:t>
        </x:is>
      </x:c>
      <x:c r="AG12" s="15">
        <x:f>IF(MONTH(DATE($B$2,3,1)-WEEKDAY(DATE($B$2,3,1),2)+1+36)=3,DATE($B$2,3,1)-WEEKDAY(DATE($B$2,3,1),2)+1+36,"")</x:f>
        <x:v>46112</x:v>
      </x:c>
      <x:c r="AH12" s="14" t="n"/>
      <x:c r="AI12" s="15">
        <x:f>IF(MONTH(DATE($B$2,3,1)-WEEKDAY(DATE($B$2,3,1),2)+1+37)=3,DATE($B$2,3,1)-WEEKDAY(DATE($B$2,3,1),2)+1+37,"")</x:f>
      </x:c>
      <x:c r="AJ12" s="14" t="n"/>
      <x:c r="AK12" s="15">
        <x:f>IF(MONTH(DATE($B$2,3,1)-WEEKDAY(DATE($B$2,3,1),2)+1+38)=3,DATE($B$2,3,1)-WEEKDAY(DATE($B$2,3,1),2)+1+38,"")</x:f>
      </x:c>
      <x:c r="AL12" s="14" t="n"/>
      <x:c r="AM12" s="15">
        <x:f>IF(MONTH(DATE($B$2,3,1)-WEEKDAY(DATE($B$2,3,1),2)+1+39)=3,DATE($B$2,3,1)-WEEKDAY(DATE($B$2,3,1),2)+1+39,"")</x:f>
      </x:c>
      <x:c r="AN12" s="14" t="n"/>
      <x:c r="AO12" s="15">
        <x:f>IF(MONTH(DATE($B$2,3,1)-WEEKDAY(DATE($B$2,3,1),2)+1+40)=3,DATE($B$2,3,1)-WEEKDAY(DATE($B$2,3,1),2)+1+40,"")</x:f>
      </x:c>
      <x:c r="AP12" s="14" t="n"/>
      <x:c r="AQ12" s="15">
        <x:f>IF(MONTH(DATE($B$2,3,1)-WEEKDAY(DATE($B$2,3,1),2)+1+41)=3,DATE($B$2,3,1)-WEEKDAY(DATE($B$2,3,1),2)+1+41,"")</x:f>
      </x:c>
      <x:c r="AR12" s="16" t="n"/>
    </x:row>
    <x:row r="13" ht="6" customHeight="1"/>
    <x:row r="14" ht="20" customHeight="1">
      <x:c r="A14" s="5" t="inlineStr">
        <x:is>
          <x:t xml:space="preserve">April</x:t>
        </x:is>
      </x:c>
      <x:c r="N14" s="6" t="n"/>
      <x:c r="P14" s="5" t="inlineStr">
        <x:is>
          <x:t xml:space="preserve">Mai</x:t>
        </x:is>
      </x:c>
      <x:c r="AC14" s="6" t="n"/>
      <x:c r="AE14" s="5" t="inlineStr">
        <x:is>
          <x:t xml:space="preserve">Juni</x:t>
        </x:is>
      </x:c>
      <x:c r="AR14" s="6" t="n"/>
    </x:row>
    <x:row r="15" ht="18" customHeight="1">
      <x:c r="A15" s="7" t="inlineStr">
        <x:is>
          <x:t xml:space="preserve">Mo</x:t>
        </x:is>
      </x:c>
      <x:c r="C15" s="8" t="inlineStr">
        <x:is>
          <x:t xml:space="preserve">Di</x:t>
        </x:is>
      </x:c>
      <x:c r="E15" s="8" t="inlineStr">
        <x:is>
          <x:t xml:space="preserve">Mi</x:t>
        </x:is>
      </x:c>
      <x:c r="G15" s="8" t="inlineStr">
        <x:is>
          <x:t xml:space="preserve">Do</x:t>
        </x:is>
      </x:c>
      <x:c r="I15" s="8" t="inlineStr">
        <x:is>
          <x:t xml:space="preserve">Fr</x:t>
        </x:is>
      </x:c>
      <x:c r="K15" s="8" t="inlineStr">
        <x:is>
          <x:t xml:space="preserve">Sa</x:t>
        </x:is>
      </x:c>
      <x:c r="M15" s="8" t="inlineStr">
        <x:is>
          <x:t xml:space="preserve">So</x:t>
        </x:is>
      </x:c>
      <x:c r="N15" s="6" t="n"/>
      <x:c r="P15" s="7" t="inlineStr">
        <x:is>
          <x:t xml:space="preserve">Mo</x:t>
        </x:is>
      </x:c>
      <x:c r="R15" s="8" t="inlineStr">
        <x:is>
          <x:t xml:space="preserve">Di</x:t>
        </x:is>
      </x:c>
      <x:c r="T15" s="8" t="inlineStr">
        <x:is>
          <x:t xml:space="preserve">Mi</x:t>
        </x:is>
      </x:c>
      <x:c r="V15" s="8" t="inlineStr">
        <x:is>
          <x:t xml:space="preserve">Do</x:t>
        </x:is>
      </x:c>
      <x:c r="X15" s="8" t="inlineStr">
        <x:is>
          <x:t xml:space="preserve">Fr</x:t>
        </x:is>
      </x:c>
      <x:c r="Z15" s="8" t="inlineStr">
        <x:is>
          <x:t xml:space="preserve">Sa</x:t>
        </x:is>
      </x:c>
      <x:c r="AB15" s="8" t="inlineStr">
        <x:is>
          <x:t xml:space="preserve">So</x:t>
        </x:is>
      </x:c>
      <x:c r="AC15" s="6" t="n"/>
      <x:c r="AE15" s="7" t="inlineStr">
        <x:is>
          <x:t xml:space="preserve">Mo</x:t>
        </x:is>
      </x:c>
      <x:c r="AG15" s="8" t="inlineStr">
        <x:is>
          <x:t xml:space="preserve">Di</x:t>
        </x:is>
      </x:c>
      <x:c r="AI15" s="8" t="inlineStr">
        <x:is>
          <x:t xml:space="preserve">Mi</x:t>
        </x:is>
      </x:c>
      <x:c r="AK15" s="8" t="inlineStr">
        <x:is>
          <x:t xml:space="preserve">Do</x:t>
        </x:is>
      </x:c>
      <x:c r="AM15" s="8" t="inlineStr">
        <x:is>
          <x:t xml:space="preserve">Fr</x:t>
        </x:is>
      </x:c>
      <x:c r="AO15" s="8" t="inlineStr">
        <x:is>
          <x:t xml:space="preserve">Sa</x:t>
        </x:is>
      </x:c>
      <x:c r="AQ15" s="8" t="inlineStr">
        <x:is>
          <x:t xml:space="preserve">So</x:t>
        </x:is>
      </x:c>
      <x:c r="AR15" s="6" t="n"/>
    </x:row>
    <x:row r="16" ht="24" customHeight="1">
      <x:c r="A16" s="9">
        <x:f>IF(MONTH(DATE($B$2,4,1)-WEEKDAY(DATE($B$2,4,1),2)+1+0)=4,DATE($B$2,4,1)-WEEKDAY(DATE($B$2,4,1),2)+1+0,"")</x:f>
      </x:c>
      <x:c r="B16" s="10" t="n"/>
      <x:c r="C16" s="11">
        <x:f>IF(MONTH(DATE($B$2,4,1)-WEEKDAY(DATE($B$2,4,1),2)+1+1)=4,DATE($B$2,4,1)-WEEKDAY(DATE($B$2,4,1),2)+1+1,"")</x:f>
      </x:c>
      <x:c r="D16" s="10" t="n"/>
      <x:c r="E16" s="11">
        <x:f>IF(MONTH(DATE($B$2,4,1)-WEEKDAY(DATE($B$2,4,1),2)+1+2)=4,DATE($B$2,4,1)-WEEKDAY(DATE($B$2,4,1),2)+1+2,"")</x:f>
        <x:v>46113</x:v>
      </x:c>
      <x:c r="F16" s="10" t="n"/>
      <x:c r="G16" s="11">
        <x:f>IF(MONTH(DATE($B$2,4,1)-WEEKDAY(DATE($B$2,4,1),2)+1+3)=4,DATE($B$2,4,1)-WEEKDAY(DATE($B$2,4,1),2)+1+3,"")</x:f>
        <x:v>46114</x:v>
      </x:c>
      <x:c r="H16" s="10" t="n"/>
      <x:c r="I16" s="11">
        <x:f>IF(MONTH(DATE($B$2,4,1)-WEEKDAY(DATE($B$2,4,1),2)+1+4)=4,DATE($B$2,4,1)-WEEKDAY(DATE($B$2,4,1),2)+1+4,"")</x:f>
        <x:v>46115</x:v>
      </x:c>
      <x:c r="J16" s="10" t="n"/>
      <x:c r="K16" s="11">
        <x:f>IF(MONTH(DATE($B$2,4,1)-WEEKDAY(DATE($B$2,4,1),2)+1+5)=4,DATE($B$2,4,1)-WEEKDAY(DATE($B$2,4,1),2)+1+5,"")</x:f>
        <x:v>46116</x:v>
      </x:c>
      <x:c r="L16" s="10" t="n"/>
      <x:c r="M16" s="11">
        <x:f>IF(MONTH(DATE($B$2,4,1)-WEEKDAY(DATE($B$2,4,1),2)+1+6)=4,DATE($B$2,4,1)-WEEKDAY(DATE($B$2,4,1),2)+1+6,"")</x:f>
        <x:v>46117</x:v>
      </x:c>
      <x:c r="N16" s="12" t="n"/>
      <x:c r="P16" s="9">
        <x:f>IF(MONTH(DATE($B$2,5,1)-WEEKDAY(DATE($B$2,5,1),2)+1+0)=5,DATE($B$2,5,1)-WEEKDAY(DATE($B$2,5,1),2)+1+0,"")</x:f>
      </x:c>
      <x:c r="Q16" s="10" t="n"/>
      <x:c r="R16" s="11">
        <x:f>IF(MONTH(DATE($B$2,5,1)-WEEKDAY(DATE($B$2,5,1),2)+1+1)=5,DATE($B$2,5,1)-WEEKDAY(DATE($B$2,5,1),2)+1+1,"")</x:f>
      </x:c>
      <x:c r="S16" s="10" t="n"/>
      <x:c r="T16" s="11">
        <x:f>IF(MONTH(DATE($B$2,5,1)-WEEKDAY(DATE($B$2,5,1),2)+1+2)=5,DATE($B$2,5,1)-WEEKDAY(DATE($B$2,5,1),2)+1+2,"")</x:f>
      </x:c>
      <x:c r="U16" s="10" t="n"/>
      <x:c r="V16" s="11">
        <x:f>IF(MONTH(DATE($B$2,5,1)-WEEKDAY(DATE($B$2,5,1),2)+1+3)=5,DATE($B$2,5,1)-WEEKDAY(DATE($B$2,5,1),2)+1+3,"")</x:f>
      </x:c>
      <x:c r="W16" s="10" t="n"/>
      <x:c r="X16" s="11">
        <x:f>IF(MONTH(DATE($B$2,5,1)-WEEKDAY(DATE($B$2,5,1),2)+1+4)=5,DATE($B$2,5,1)-WEEKDAY(DATE($B$2,5,1),2)+1+4,"")</x:f>
        <x:v>46143</x:v>
      </x:c>
      <x:c r="Y16" s="10" t="inlineStr">
        <x:is>
          <x:t xml:space="preserve">Feiertag / frei</x:t>
        </x:is>
      </x:c>
      <x:c r="Z16" s="11">
        <x:f>IF(MONTH(DATE($B$2,5,1)-WEEKDAY(DATE($B$2,5,1),2)+1+5)=5,DATE($B$2,5,1)-WEEKDAY(DATE($B$2,5,1),2)+1+5,"")</x:f>
        <x:v>46144</x:v>
      </x:c>
      <x:c r="AA16" s="10" t="n"/>
      <x:c r="AB16" s="11">
        <x:f>IF(MONTH(DATE($B$2,5,1)-WEEKDAY(DATE($B$2,5,1),2)+1+6)=5,DATE($B$2,5,1)-WEEKDAY(DATE($B$2,5,1),2)+1+6,"")</x:f>
        <x:v>46145</x:v>
      </x:c>
      <x:c r="AC16" s="12" t="n"/>
      <x:c r="AE16" s="9">
        <x:f>IF(MONTH(DATE($B$2,6,1)-WEEKDAY(DATE($B$2,6,1),2)+1+0)=6,DATE($B$2,6,1)-WEEKDAY(DATE($B$2,6,1),2)+1+0,"")</x:f>
        <x:v>46174</x:v>
      </x:c>
      <x:c r="AF16" s="10" t="n"/>
      <x:c r="AG16" s="11">
        <x:f>IF(MONTH(DATE($B$2,6,1)-WEEKDAY(DATE($B$2,6,1),2)+1+1)=6,DATE($B$2,6,1)-WEEKDAY(DATE($B$2,6,1),2)+1+1,"")</x:f>
        <x:v>46175</x:v>
      </x:c>
      <x:c r="AH16" s="10" t="n"/>
      <x:c r="AI16" s="11">
        <x:f>IF(MONTH(DATE($B$2,6,1)-WEEKDAY(DATE($B$2,6,1),2)+1+2)=6,DATE($B$2,6,1)-WEEKDAY(DATE($B$2,6,1),2)+1+2,"")</x:f>
        <x:v>46176</x:v>
      </x:c>
      <x:c r="AJ16" s="10" t="n"/>
      <x:c r="AK16" s="11">
        <x:f>IF(MONTH(DATE($B$2,6,1)-WEEKDAY(DATE($B$2,6,1),2)+1+3)=6,DATE($B$2,6,1)-WEEKDAY(DATE($B$2,6,1),2)+1+3,"")</x:f>
        <x:v>46177</x:v>
      </x:c>
      <x:c r="AL16" s="10" t="n"/>
      <x:c r="AM16" s="11">
        <x:f>IF(MONTH(DATE($B$2,6,1)-WEEKDAY(DATE($B$2,6,1),2)+1+4)=6,DATE($B$2,6,1)-WEEKDAY(DATE($B$2,6,1),2)+1+4,"")</x:f>
        <x:v>46178</x:v>
      </x:c>
      <x:c r="AN16" s="10" t="n"/>
      <x:c r="AO16" s="11">
        <x:f>IF(MONTH(DATE($B$2,6,1)-WEEKDAY(DATE($B$2,6,1),2)+1+5)=6,DATE($B$2,6,1)-WEEKDAY(DATE($B$2,6,1),2)+1+5,"")</x:f>
        <x:v>46179</x:v>
      </x:c>
      <x:c r="AP16" s="10" t="n"/>
      <x:c r="AQ16" s="11">
        <x:f>IF(MONTH(DATE($B$2,6,1)-WEEKDAY(DATE($B$2,6,1),2)+1+6)=6,DATE($B$2,6,1)-WEEKDAY(DATE($B$2,6,1),2)+1+6,"")</x:f>
        <x:v>46180</x:v>
      </x:c>
      <x:c r="AR16" s="12" t="n"/>
    </x:row>
    <x:row r="17" ht="24" customHeight="1">
      <x:c r="A17" s="9">
        <x:f>IF(MONTH(DATE($B$2,4,1)-WEEKDAY(DATE($B$2,4,1),2)+1+7)=4,DATE($B$2,4,1)-WEEKDAY(DATE($B$2,4,1),2)+1+7,"")</x:f>
        <x:v>46118</x:v>
      </x:c>
      <x:c r="B17" s="10" t="n"/>
      <x:c r="C17" s="11">
        <x:f>IF(MONTH(DATE($B$2,4,1)-WEEKDAY(DATE($B$2,4,1),2)+1+8)=4,DATE($B$2,4,1)-WEEKDAY(DATE($B$2,4,1),2)+1+8,"")</x:f>
        <x:v>46119</x:v>
      </x:c>
      <x:c r="D17" s="10" t="inlineStr">
        <x:is>
          <x:t xml:space="preserve">Budget prüfen</x:t>
        </x:is>
      </x:c>
      <x:c r="E17" s="11">
        <x:f>IF(MONTH(DATE($B$2,4,1)-WEEKDAY(DATE($B$2,4,1),2)+1+9)=4,DATE($B$2,4,1)-WEEKDAY(DATE($B$2,4,1),2)+1+9,"")</x:f>
        <x:v>46120</x:v>
      </x:c>
      <x:c r="F17" s="10" t="n"/>
      <x:c r="G17" s="11">
        <x:f>IF(MONTH(DATE($B$2,4,1)-WEEKDAY(DATE($B$2,4,1),2)+1+10)=4,DATE($B$2,4,1)-WEEKDAY(DATE($B$2,4,1),2)+1+10,"")</x:f>
        <x:v>46121</x:v>
      </x:c>
      <x:c r="H17" s="10" t="n"/>
      <x:c r="I17" s="11">
        <x:f>IF(MONTH(DATE($B$2,4,1)-WEEKDAY(DATE($B$2,4,1),2)+1+11)=4,DATE($B$2,4,1)-WEEKDAY(DATE($B$2,4,1),2)+1+11,"")</x:f>
        <x:v>46122</x:v>
      </x:c>
      <x:c r="J17" s="10" t="n"/>
      <x:c r="K17" s="11">
        <x:f>IF(MONTH(DATE($B$2,4,1)-WEEKDAY(DATE($B$2,4,1),2)+1+12)=4,DATE($B$2,4,1)-WEEKDAY(DATE($B$2,4,1),2)+1+12,"")</x:f>
        <x:v>46123</x:v>
      </x:c>
      <x:c r="L17" s="10" t="n"/>
      <x:c r="M17" s="11">
        <x:f>IF(MONTH(DATE($B$2,4,1)-WEEKDAY(DATE($B$2,4,1),2)+1+13)=4,DATE($B$2,4,1)-WEEKDAY(DATE($B$2,4,1),2)+1+13,"")</x:f>
        <x:v>46124</x:v>
      </x:c>
      <x:c r="N17" s="12" t="n"/>
      <x:c r="P17" s="9">
        <x:f>IF(MONTH(DATE($B$2,5,1)-WEEKDAY(DATE($B$2,5,1),2)+1+7)=5,DATE($B$2,5,1)-WEEKDAY(DATE($B$2,5,1),2)+1+7,"")</x:f>
        <x:v>46146</x:v>
      </x:c>
      <x:c r="Q17" s="10" t="n"/>
      <x:c r="R17" s="11">
        <x:f>IF(MONTH(DATE($B$2,5,1)-WEEKDAY(DATE($B$2,5,1),2)+1+8)=5,DATE($B$2,5,1)-WEEKDAY(DATE($B$2,5,1),2)+1+8,"")</x:f>
        <x:v>46147</x:v>
      </x:c>
      <x:c r="S17" s="10" t="n"/>
      <x:c r="T17" s="11">
        <x:f>IF(MONTH(DATE($B$2,5,1)-WEEKDAY(DATE($B$2,5,1),2)+1+9)=5,DATE($B$2,5,1)-WEEKDAY(DATE($B$2,5,1),2)+1+9,"")</x:f>
        <x:v>46148</x:v>
      </x:c>
      <x:c r="U17" s="10" t="n"/>
      <x:c r="V17" s="11">
        <x:f>IF(MONTH(DATE($B$2,5,1)-WEEKDAY(DATE($B$2,5,1),2)+1+10)=5,DATE($B$2,5,1)-WEEKDAY(DATE($B$2,5,1),2)+1+10,"")</x:f>
        <x:v>46149</x:v>
      </x:c>
      <x:c r="W17" s="10" t="n"/>
      <x:c r="X17" s="11">
        <x:f>IF(MONTH(DATE($B$2,5,1)-WEEKDAY(DATE($B$2,5,1),2)+1+11)=5,DATE($B$2,5,1)-WEEKDAY(DATE($B$2,5,1),2)+1+11,"")</x:f>
        <x:v>46150</x:v>
      </x:c>
      <x:c r="Y17" s="10" t="n"/>
      <x:c r="Z17" s="11">
        <x:f>IF(MONTH(DATE($B$2,5,1)-WEEKDAY(DATE($B$2,5,1),2)+1+12)=5,DATE($B$2,5,1)-WEEKDAY(DATE($B$2,5,1),2)+1+12,"")</x:f>
        <x:v>46151</x:v>
      </x:c>
      <x:c r="AA17" s="10" t="n"/>
      <x:c r="AB17" s="11">
        <x:f>IF(MONTH(DATE($B$2,5,1)-WEEKDAY(DATE($B$2,5,1),2)+1+13)=5,DATE($B$2,5,1)-WEEKDAY(DATE($B$2,5,1),2)+1+13,"")</x:f>
        <x:v>46152</x:v>
      </x:c>
      <x:c r="AC17" s="12" t="n"/>
      <x:c r="AE17" s="9">
        <x:f>IF(MONTH(DATE($B$2,6,1)-WEEKDAY(DATE($B$2,6,1),2)+1+7)=6,DATE($B$2,6,1)-WEEKDAY(DATE($B$2,6,1),2)+1+7,"")</x:f>
        <x:v>46181</x:v>
      </x:c>
      <x:c r="AF17" s="10" t="inlineStr">
        <x:is>
          <x:t xml:space="preserve">Präsentation</x:t>
        </x:is>
      </x:c>
      <x:c r="AG17" s="11">
        <x:f>IF(MONTH(DATE($B$2,6,1)-WEEKDAY(DATE($B$2,6,1),2)+1+8)=6,DATE($B$2,6,1)-WEEKDAY(DATE($B$2,6,1),2)+1+8,"")</x:f>
        <x:v>46182</x:v>
      </x:c>
      <x:c r="AH17" s="10" t="n"/>
      <x:c r="AI17" s="11">
        <x:f>IF(MONTH(DATE($B$2,6,1)-WEEKDAY(DATE($B$2,6,1),2)+1+9)=6,DATE($B$2,6,1)-WEEKDAY(DATE($B$2,6,1),2)+1+9,"")</x:f>
        <x:v>46183</x:v>
      </x:c>
      <x:c r="AJ17" s="10" t="n"/>
      <x:c r="AK17" s="11">
        <x:f>IF(MONTH(DATE($B$2,6,1)-WEEKDAY(DATE($B$2,6,1),2)+1+10)=6,DATE($B$2,6,1)-WEEKDAY(DATE($B$2,6,1),2)+1+10,"")</x:f>
        <x:v>46184</x:v>
      </x:c>
      <x:c r="AL17" s="10" t="n"/>
      <x:c r="AM17" s="11">
        <x:f>IF(MONTH(DATE($B$2,6,1)-WEEKDAY(DATE($B$2,6,1),2)+1+11)=6,DATE($B$2,6,1)-WEEKDAY(DATE($B$2,6,1),2)+1+11,"")</x:f>
        <x:v>46185</x:v>
      </x:c>
      <x:c r="AN17" s="10" t="n"/>
      <x:c r="AO17" s="11">
        <x:f>IF(MONTH(DATE($B$2,6,1)-WEEKDAY(DATE($B$2,6,1),2)+1+12)=6,DATE($B$2,6,1)-WEEKDAY(DATE($B$2,6,1),2)+1+12,"")</x:f>
        <x:v>46186</x:v>
      </x:c>
      <x:c r="AP17" s="10" t="n"/>
      <x:c r="AQ17" s="11">
        <x:f>IF(MONTH(DATE($B$2,6,1)-WEEKDAY(DATE($B$2,6,1),2)+1+13)=6,DATE($B$2,6,1)-WEEKDAY(DATE($B$2,6,1),2)+1+13,"")</x:f>
        <x:v>46187</x:v>
      </x:c>
      <x:c r="AR17" s="12" t="n"/>
    </x:row>
    <x:row r="18" ht="24" customHeight="1">
      <x:c r="A18" s="9">
        <x:f>IF(MONTH(DATE($B$2,4,1)-WEEKDAY(DATE($B$2,4,1),2)+1+14)=4,DATE($B$2,4,1)-WEEKDAY(DATE($B$2,4,1),2)+1+14,"")</x:f>
        <x:v>46125</x:v>
      </x:c>
      <x:c r="B18" s="10" t="n"/>
      <x:c r="C18" s="11">
        <x:f>IF(MONTH(DATE($B$2,4,1)-WEEKDAY(DATE($B$2,4,1),2)+1+15)=4,DATE($B$2,4,1)-WEEKDAY(DATE($B$2,4,1),2)+1+15,"")</x:f>
        <x:v>46126</x:v>
      </x:c>
      <x:c r="D18" s="10" t="n"/>
      <x:c r="E18" s="11">
        <x:f>IF(MONTH(DATE($B$2,4,1)-WEEKDAY(DATE($B$2,4,1),2)+1+16)=4,DATE($B$2,4,1)-WEEKDAY(DATE($B$2,4,1),2)+1+16,"")</x:f>
        <x:v>46127</x:v>
      </x:c>
      <x:c r="F18" s="10" t="n"/>
      <x:c r="G18" s="11">
        <x:f>IF(MONTH(DATE($B$2,4,1)-WEEKDAY(DATE($B$2,4,1),2)+1+17)=4,DATE($B$2,4,1)-WEEKDAY(DATE($B$2,4,1),2)+1+17,"")</x:f>
        <x:v>46128</x:v>
      </x:c>
      <x:c r="H18" s="10" t="n"/>
      <x:c r="I18" s="11">
        <x:f>IF(MONTH(DATE($B$2,4,1)-WEEKDAY(DATE($B$2,4,1),2)+1+18)=4,DATE($B$2,4,1)-WEEKDAY(DATE($B$2,4,1),2)+1+18,"")</x:f>
        <x:v>46129</x:v>
      </x:c>
      <x:c r="J18" s="10" t="n"/>
      <x:c r="K18" s="11">
        <x:f>IF(MONTH(DATE($B$2,4,1)-WEEKDAY(DATE($B$2,4,1),2)+1+19)=4,DATE($B$2,4,1)-WEEKDAY(DATE($B$2,4,1),2)+1+19,"")</x:f>
        <x:v>46130</x:v>
      </x:c>
      <x:c r="L18" s="10" t="n"/>
      <x:c r="M18" s="11">
        <x:f>IF(MONTH(DATE($B$2,4,1)-WEEKDAY(DATE($B$2,4,1),2)+1+20)=4,DATE($B$2,4,1)-WEEKDAY(DATE($B$2,4,1),2)+1+20,"")</x:f>
        <x:v>46131</x:v>
      </x:c>
      <x:c r="N18" s="12" t="n"/>
      <x:c r="P18" s="9">
        <x:f>IF(MONTH(DATE($B$2,5,1)-WEEKDAY(DATE($B$2,5,1),2)+1+14)=5,DATE($B$2,5,1)-WEEKDAY(DATE($B$2,5,1),2)+1+14,"")</x:f>
        <x:v>46153</x:v>
      </x:c>
      <x:c r="Q18" s="10" t="n"/>
      <x:c r="R18" s="11">
        <x:f>IF(MONTH(DATE($B$2,5,1)-WEEKDAY(DATE($B$2,5,1),2)+1+15)=5,DATE($B$2,5,1)-WEEKDAY(DATE($B$2,5,1),2)+1+15,"")</x:f>
        <x:v>46154</x:v>
      </x:c>
      <x:c r="S18" s="10" t="n"/>
      <x:c r="T18" s="11">
        <x:f>IF(MONTH(DATE($B$2,5,1)-WEEKDAY(DATE($B$2,5,1),2)+1+16)=5,DATE($B$2,5,1)-WEEKDAY(DATE($B$2,5,1),2)+1+16,"")</x:f>
        <x:v>46155</x:v>
      </x:c>
      <x:c r="U18" s="10" t="inlineStr">
        <x:is>
          <x:t xml:space="preserve">Statusupdate</x:t>
        </x:is>
      </x:c>
      <x:c r="V18" s="11">
        <x:f>IF(MONTH(DATE($B$2,5,1)-WEEKDAY(DATE($B$2,5,1),2)+1+17)=5,DATE($B$2,5,1)-WEEKDAY(DATE($B$2,5,1),2)+1+17,"")</x:f>
        <x:v>46156</x:v>
      </x:c>
      <x:c r="W18" s="10" t="n"/>
      <x:c r="X18" s="11">
        <x:f>IF(MONTH(DATE($B$2,5,1)-WEEKDAY(DATE($B$2,5,1),2)+1+18)=5,DATE($B$2,5,1)-WEEKDAY(DATE($B$2,5,1),2)+1+18,"")</x:f>
        <x:v>46157</x:v>
      </x:c>
      <x:c r="Y18" s="10" t="n"/>
      <x:c r="Z18" s="11">
        <x:f>IF(MONTH(DATE($B$2,5,1)-WEEKDAY(DATE($B$2,5,1),2)+1+19)=5,DATE($B$2,5,1)-WEEKDAY(DATE($B$2,5,1),2)+1+19,"")</x:f>
        <x:v>46158</x:v>
      </x:c>
      <x:c r="AA18" s="10" t="n"/>
      <x:c r="AB18" s="11">
        <x:f>IF(MONTH(DATE($B$2,5,1)-WEEKDAY(DATE($B$2,5,1),2)+1+20)=5,DATE($B$2,5,1)-WEEKDAY(DATE($B$2,5,1),2)+1+20,"")</x:f>
        <x:v>46159</x:v>
      </x:c>
      <x:c r="AC18" s="12" t="n"/>
      <x:c r="AE18" s="9">
        <x:f>IF(MONTH(DATE($B$2,6,1)-WEEKDAY(DATE($B$2,6,1),2)+1+14)=6,DATE($B$2,6,1)-WEEKDAY(DATE($B$2,6,1),2)+1+14,"")</x:f>
        <x:v>46188</x:v>
      </x:c>
      <x:c r="AF18" s="10" t="n"/>
      <x:c r="AG18" s="11">
        <x:f>IF(MONTH(DATE($B$2,6,1)-WEEKDAY(DATE($B$2,6,1),2)+1+15)=6,DATE($B$2,6,1)-WEEKDAY(DATE($B$2,6,1),2)+1+15,"")</x:f>
        <x:v>46189</x:v>
      </x:c>
      <x:c r="AH18" s="10" t="n"/>
      <x:c r="AI18" s="11">
        <x:f>IF(MONTH(DATE($B$2,6,1)-WEEKDAY(DATE($B$2,6,1),2)+1+16)=6,DATE($B$2,6,1)-WEEKDAY(DATE($B$2,6,1),2)+1+16,"")</x:f>
        <x:v>46190</x:v>
      </x:c>
      <x:c r="AJ18" s="10" t="n"/>
      <x:c r="AK18" s="11">
        <x:f>IF(MONTH(DATE($B$2,6,1)-WEEKDAY(DATE($B$2,6,1),2)+1+17)=6,DATE($B$2,6,1)-WEEKDAY(DATE($B$2,6,1),2)+1+17,"")</x:f>
        <x:v>46191</x:v>
      </x:c>
      <x:c r="AL18" s="10" t="n"/>
      <x:c r="AM18" s="11">
        <x:f>IF(MONTH(DATE($B$2,6,1)-WEEKDAY(DATE($B$2,6,1),2)+1+18)=6,DATE($B$2,6,1)-WEEKDAY(DATE($B$2,6,1),2)+1+18,"")</x:f>
        <x:v>46192</x:v>
      </x:c>
      <x:c r="AN18" s="10" t="inlineStr">
        <x:is>
          <x:t xml:space="preserve">Abgabe</x:t>
        </x:is>
      </x:c>
      <x:c r="AO18" s="11">
        <x:f>IF(MONTH(DATE($B$2,6,1)-WEEKDAY(DATE($B$2,6,1),2)+1+19)=6,DATE($B$2,6,1)-WEEKDAY(DATE($B$2,6,1),2)+1+19,"")</x:f>
        <x:v>46193</x:v>
      </x:c>
      <x:c r="AP18" s="10" t="n"/>
      <x:c r="AQ18" s="11">
        <x:f>IF(MONTH(DATE($B$2,6,1)-WEEKDAY(DATE($B$2,6,1),2)+1+20)=6,DATE($B$2,6,1)-WEEKDAY(DATE($B$2,6,1),2)+1+20,"")</x:f>
        <x:v>46194</x:v>
      </x:c>
      <x:c r="AR18" s="12" t="n"/>
    </x:row>
    <x:row r="19" ht="24" customHeight="1">
      <x:c r="A19" s="9">
        <x:f>IF(MONTH(DATE($B$2,4,1)-WEEKDAY(DATE($B$2,4,1),2)+1+21)=4,DATE($B$2,4,1)-WEEKDAY(DATE($B$2,4,1),2)+1+21,"")</x:f>
        <x:v>46132</x:v>
      </x:c>
      <x:c r="B19" s="10" t="n"/>
      <x:c r="C19" s="11">
        <x:f>IF(MONTH(DATE($B$2,4,1)-WEEKDAY(DATE($B$2,4,1),2)+1+22)=4,DATE($B$2,4,1)-WEEKDAY(DATE($B$2,4,1),2)+1+22,"")</x:f>
        <x:v>46133</x:v>
      </x:c>
      <x:c r="D19" s="10" t="inlineStr">
        <x:is>
          <x:t xml:space="preserve">Workshop</x:t>
        </x:is>
      </x:c>
      <x:c r="E19" s="11">
        <x:f>IF(MONTH(DATE($B$2,4,1)-WEEKDAY(DATE($B$2,4,1),2)+1+23)=4,DATE($B$2,4,1)-WEEKDAY(DATE($B$2,4,1),2)+1+23,"")</x:f>
        <x:v>46134</x:v>
      </x:c>
      <x:c r="F19" s="10" t="n"/>
      <x:c r="G19" s="11">
        <x:f>IF(MONTH(DATE($B$2,4,1)-WEEKDAY(DATE($B$2,4,1),2)+1+24)=4,DATE($B$2,4,1)-WEEKDAY(DATE($B$2,4,1),2)+1+24,"")</x:f>
        <x:v>46135</x:v>
      </x:c>
      <x:c r="H19" s="10" t="n"/>
      <x:c r="I19" s="11">
        <x:f>IF(MONTH(DATE($B$2,4,1)-WEEKDAY(DATE($B$2,4,1),2)+1+25)=4,DATE($B$2,4,1)-WEEKDAY(DATE($B$2,4,1),2)+1+25,"")</x:f>
        <x:v>46136</x:v>
      </x:c>
      <x:c r="J19" s="10" t="n"/>
      <x:c r="K19" s="11">
        <x:f>IF(MONTH(DATE($B$2,4,1)-WEEKDAY(DATE($B$2,4,1),2)+1+26)=4,DATE($B$2,4,1)-WEEKDAY(DATE($B$2,4,1),2)+1+26,"")</x:f>
        <x:v>46137</x:v>
      </x:c>
      <x:c r="L19" s="10" t="n"/>
      <x:c r="M19" s="11">
        <x:f>IF(MONTH(DATE($B$2,4,1)-WEEKDAY(DATE($B$2,4,1),2)+1+27)=4,DATE($B$2,4,1)-WEEKDAY(DATE($B$2,4,1),2)+1+27,"")</x:f>
        <x:v>46138</x:v>
      </x:c>
      <x:c r="N19" s="12" t="n"/>
      <x:c r="P19" s="9">
        <x:f>IF(MONTH(DATE($B$2,5,1)-WEEKDAY(DATE($B$2,5,1),2)+1+21)=5,DATE($B$2,5,1)-WEEKDAY(DATE($B$2,5,1),2)+1+21,"")</x:f>
        <x:v>46160</x:v>
      </x:c>
      <x:c r="Q19" s="10" t="n"/>
      <x:c r="R19" s="11">
        <x:f>IF(MONTH(DATE($B$2,5,1)-WEEKDAY(DATE($B$2,5,1),2)+1+22)=5,DATE($B$2,5,1)-WEEKDAY(DATE($B$2,5,1),2)+1+22,"")</x:f>
        <x:v>46161</x:v>
      </x:c>
      <x:c r="S19" s="10" t="n"/>
      <x:c r="T19" s="11">
        <x:f>IF(MONTH(DATE($B$2,5,1)-WEEKDAY(DATE($B$2,5,1),2)+1+23)=5,DATE($B$2,5,1)-WEEKDAY(DATE($B$2,5,1),2)+1+23,"")</x:f>
        <x:v>46162</x:v>
      </x:c>
      <x:c r="U19" s="10" t="n"/>
      <x:c r="V19" s="11">
        <x:f>IF(MONTH(DATE($B$2,5,1)-WEEKDAY(DATE($B$2,5,1),2)+1+24)=5,DATE($B$2,5,1)-WEEKDAY(DATE($B$2,5,1),2)+1+24,"")</x:f>
        <x:v>46163</x:v>
      </x:c>
      <x:c r="W19" s="10" t="n"/>
      <x:c r="X19" s="11">
        <x:f>IF(MONTH(DATE($B$2,5,1)-WEEKDAY(DATE($B$2,5,1),2)+1+25)=5,DATE($B$2,5,1)-WEEKDAY(DATE($B$2,5,1),2)+1+25,"")</x:f>
        <x:v>46164</x:v>
      </x:c>
      <x:c r="Y19" s="10" t="n"/>
      <x:c r="Z19" s="11">
        <x:f>IF(MONTH(DATE($B$2,5,1)-WEEKDAY(DATE($B$2,5,1),2)+1+26)=5,DATE($B$2,5,1)-WEEKDAY(DATE($B$2,5,1),2)+1+26,"")</x:f>
        <x:v>46165</x:v>
      </x:c>
      <x:c r="AA19" s="10" t="n"/>
      <x:c r="AB19" s="11">
        <x:f>IF(MONTH(DATE($B$2,5,1)-WEEKDAY(DATE($B$2,5,1),2)+1+27)=5,DATE($B$2,5,1)-WEEKDAY(DATE($B$2,5,1),2)+1+27,"")</x:f>
        <x:v>46166</x:v>
      </x:c>
      <x:c r="AC19" s="12" t="n"/>
      <x:c r="AE19" s="9">
        <x:f>IF(MONTH(DATE($B$2,6,1)-WEEKDAY(DATE($B$2,6,1),2)+1+21)=6,DATE($B$2,6,1)-WEEKDAY(DATE($B$2,6,1),2)+1+21,"")</x:f>
        <x:v>46195</x:v>
      </x:c>
      <x:c r="AF19" s="10" t="n"/>
      <x:c r="AG19" s="11">
        <x:f>IF(MONTH(DATE($B$2,6,1)-WEEKDAY(DATE($B$2,6,1),2)+1+22)=6,DATE($B$2,6,1)-WEEKDAY(DATE($B$2,6,1),2)+1+22,"")</x:f>
        <x:v>46196</x:v>
      </x:c>
      <x:c r="AH19" s="10" t="n"/>
      <x:c r="AI19" s="11">
        <x:f>IF(MONTH(DATE($B$2,6,1)-WEEKDAY(DATE($B$2,6,1),2)+1+23)=6,DATE($B$2,6,1)-WEEKDAY(DATE($B$2,6,1),2)+1+23,"")</x:f>
        <x:v>46197</x:v>
      </x:c>
      <x:c r="AJ19" s="10" t="n"/>
      <x:c r="AK19" s="11">
        <x:f>IF(MONTH(DATE($B$2,6,1)-WEEKDAY(DATE($B$2,6,1),2)+1+24)=6,DATE($B$2,6,1)-WEEKDAY(DATE($B$2,6,1),2)+1+24,"")</x:f>
        <x:v>46198</x:v>
      </x:c>
      <x:c r="AL19" s="10" t="n"/>
      <x:c r="AM19" s="11">
        <x:f>IF(MONTH(DATE($B$2,6,1)-WEEKDAY(DATE($B$2,6,1),2)+1+25)=6,DATE($B$2,6,1)-WEEKDAY(DATE($B$2,6,1),2)+1+25,"")</x:f>
        <x:v>46199</x:v>
      </x:c>
      <x:c r="AN19" s="10" t="n"/>
      <x:c r="AO19" s="11">
        <x:f>IF(MONTH(DATE($B$2,6,1)-WEEKDAY(DATE($B$2,6,1),2)+1+26)=6,DATE($B$2,6,1)-WEEKDAY(DATE($B$2,6,1),2)+1+26,"")</x:f>
        <x:v>46200</x:v>
      </x:c>
      <x:c r="AP19" s="10" t="n"/>
      <x:c r="AQ19" s="11">
        <x:f>IF(MONTH(DATE($B$2,6,1)-WEEKDAY(DATE($B$2,6,1),2)+1+27)=6,DATE($B$2,6,1)-WEEKDAY(DATE($B$2,6,1),2)+1+27,"")</x:f>
        <x:v>46201</x:v>
      </x:c>
      <x:c r="AR19" s="12" t="n"/>
    </x:row>
    <x:row r="20" ht="24" customHeight="1">
      <x:c r="A20" s="9">
        <x:f>IF(MONTH(DATE($B$2,4,1)-WEEKDAY(DATE($B$2,4,1),2)+1+28)=4,DATE($B$2,4,1)-WEEKDAY(DATE($B$2,4,1),2)+1+28,"")</x:f>
        <x:v>46139</x:v>
      </x:c>
      <x:c r="B20" s="10" t="n"/>
      <x:c r="C20" s="11">
        <x:f>IF(MONTH(DATE($B$2,4,1)-WEEKDAY(DATE($B$2,4,1),2)+1+29)=4,DATE($B$2,4,1)-WEEKDAY(DATE($B$2,4,1),2)+1+29,"")</x:f>
        <x:v>46140</x:v>
      </x:c>
      <x:c r="D20" s="10" t="n"/>
      <x:c r="E20" s="11">
        <x:f>IF(MONTH(DATE($B$2,4,1)-WEEKDAY(DATE($B$2,4,1),2)+1+30)=4,DATE($B$2,4,1)-WEEKDAY(DATE($B$2,4,1),2)+1+30,"")</x:f>
        <x:v>46141</x:v>
      </x:c>
      <x:c r="F20" s="10" t="n"/>
      <x:c r="G20" s="11">
        <x:f>IF(MONTH(DATE($B$2,4,1)-WEEKDAY(DATE($B$2,4,1),2)+1+31)=4,DATE($B$2,4,1)-WEEKDAY(DATE($B$2,4,1),2)+1+31,"")</x:f>
        <x:v>46142</x:v>
      </x:c>
      <x:c r="H20" s="10" t="n"/>
      <x:c r="I20" s="11">
        <x:f>IF(MONTH(DATE($B$2,4,1)-WEEKDAY(DATE($B$2,4,1),2)+1+32)=4,DATE($B$2,4,1)-WEEKDAY(DATE($B$2,4,1),2)+1+32,"")</x:f>
      </x:c>
      <x:c r="J20" s="10" t="n"/>
      <x:c r="K20" s="11">
        <x:f>IF(MONTH(DATE($B$2,4,1)-WEEKDAY(DATE($B$2,4,1),2)+1+33)=4,DATE($B$2,4,1)-WEEKDAY(DATE($B$2,4,1),2)+1+33,"")</x:f>
      </x:c>
      <x:c r="L20" s="10" t="n"/>
      <x:c r="M20" s="11">
        <x:f>IF(MONTH(DATE($B$2,4,1)-WEEKDAY(DATE($B$2,4,1),2)+1+34)=4,DATE($B$2,4,1)-WEEKDAY(DATE($B$2,4,1),2)+1+34,"")</x:f>
      </x:c>
      <x:c r="N20" s="12" t="n"/>
      <x:c r="P20" s="9">
        <x:f>IF(MONTH(DATE($B$2,5,1)-WEEKDAY(DATE($B$2,5,1),2)+1+28)=5,DATE($B$2,5,1)-WEEKDAY(DATE($B$2,5,1),2)+1+28,"")</x:f>
        <x:v>46167</x:v>
      </x:c>
      <x:c r="Q20" s="10" t="n"/>
      <x:c r="R20" s="11">
        <x:f>IF(MONTH(DATE($B$2,5,1)-WEEKDAY(DATE($B$2,5,1),2)+1+29)=5,DATE($B$2,5,1)-WEEKDAY(DATE($B$2,5,1),2)+1+29,"")</x:f>
        <x:v>46168</x:v>
      </x:c>
      <x:c r="S20" s="10" t="n"/>
      <x:c r="T20" s="11">
        <x:f>IF(MONTH(DATE($B$2,5,1)-WEEKDAY(DATE($B$2,5,1),2)+1+30)=5,DATE($B$2,5,1)-WEEKDAY(DATE($B$2,5,1),2)+1+30,"")</x:f>
        <x:v>46169</x:v>
      </x:c>
      <x:c r="U20" s="10" t="n"/>
      <x:c r="V20" s="11">
        <x:f>IF(MONTH(DATE($B$2,5,1)-WEEKDAY(DATE($B$2,5,1),2)+1+31)=5,DATE($B$2,5,1)-WEEKDAY(DATE($B$2,5,1),2)+1+31,"")</x:f>
        <x:v>46170</x:v>
      </x:c>
      <x:c r="W20" s="10" t="inlineStr">
        <x:is>
          <x:t xml:space="preserve">Familienessen</x:t>
        </x:is>
      </x:c>
      <x:c r="X20" s="11">
        <x:f>IF(MONTH(DATE($B$2,5,1)-WEEKDAY(DATE($B$2,5,1),2)+1+32)=5,DATE($B$2,5,1)-WEEKDAY(DATE($B$2,5,1),2)+1+32,"")</x:f>
        <x:v>46171</x:v>
      </x:c>
      <x:c r="Y20" s="10" t="n"/>
      <x:c r="Z20" s="11">
        <x:f>IF(MONTH(DATE($B$2,5,1)-WEEKDAY(DATE($B$2,5,1),2)+1+33)=5,DATE($B$2,5,1)-WEEKDAY(DATE($B$2,5,1),2)+1+33,"")</x:f>
        <x:v>46172</x:v>
      </x:c>
      <x:c r="AA20" s="10" t="n"/>
      <x:c r="AB20" s="11">
        <x:f>IF(MONTH(DATE($B$2,5,1)-WEEKDAY(DATE($B$2,5,1),2)+1+34)=5,DATE($B$2,5,1)-WEEKDAY(DATE($B$2,5,1),2)+1+34,"")</x:f>
        <x:v>46173</x:v>
      </x:c>
      <x:c r="AC20" s="12" t="n"/>
      <x:c r="AE20" s="9">
        <x:f>IF(MONTH(DATE($B$2,6,1)-WEEKDAY(DATE($B$2,6,1),2)+1+28)=6,DATE($B$2,6,1)-WEEKDAY(DATE($B$2,6,1),2)+1+28,"")</x:f>
        <x:v>46202</x:v>
      </x:c>
      <x:c r="AF20" s="10" t="n"/>
      <x:c r="AG20" s="11">
        <x:f>IF(MONTH(DATE($B$2,6,1)-WEEKDAY(DATE($B$2,6,1),2)+1+29)=6,DATE($B$2,6,1)-WEEKDAY(DATE($B$2,6,1),2)+1+29,"")</x:f>
        <x:v>46203</x:v>
      </x:c>
      <x:c r="AH20" s="10" t="inlineStr">
        <x:is>
          <x:t xml:space="preserve">Quartalsabschluss</x:t>
        </x:is>
      </x:c>
      <x:c r="AI20" s="11">
        <x:f>IF(MONTH(DATE($B$2,6,1)-WEEKDAY(DATE($B$2,6,1),2)+1+30)=6,DATE($B$2,6,1)-WEEKDAY(DATE($B$2,6,1),2)+1+30,"")</x:f>
      </x:c>
      <x:c r="AJ20" s="10" t="n"/>
      <x:c r="AK20" s="11">
        <x:f>IF(MONTH(DATE($B$2,6,1)-WEEKDAY(DATE($B$2,6,1),2)+1+31)=6,DATE($B$2,6,1)-WEEKDAY(DATE($B$2,6,1),2)+1+31,"")</x:f>
      </x:c>
      <x:c r="AL20" s="10" t="n"/>
      <x:c r="AM20" s="11">
        <x:f>IF(MONTH(DATE($B$2,6,1)-WEEKDAY(DATE($B$2,6,1),2)+1+32)=6,DATE($B$2,6,1)-WEEKDAY(DATE($B$2,6,1),2)+1+32,"")</x:f>
      </x:c>
      <x:c r="AN20" s="10" t="n"/>
      <x:c r="AO20" s="11">
        <x:f>IF(MONTH(DATE($B$2,6,1)-WEEKDAY(DATE($B$2,6,1),2)+1+33)=6,DATE($B$2,6,1)-WEEKDAY(DATE($B$2,6,1),2)+1+33,"")</x:f>
      </x:c>
      <x:c r="AP20" s="10" t="n"/>
      <x:c r="AQ20" s="11">
        <x:f>IF(MONTH(DATE($B$2,6,1)-WEEKDAY(DATE($B$2,6,1),2)+1+34)=6,DATE($B$2,6,1)-WEEKDAY(DATE($B$2,6,1),2)+1+34,"")</x:f>
      </x:c>
      <x:c r="AR20" s="12" t="n"/>
    </x:row>
    <x:row r="21" ht="24" customHeight="1">
      <x:c r="A21" s="13">
        <x:f>IF(MONTH(DATE($B$2,4,1)-WEEKDAY(DATE($B$2,4,1),2)+1+35)=4,DATE($B$2,4,1)-WEEKDAY(DATE($B$2,4,1),2)+1+35,"")</x:f>
      </x:c>
      <x:c r="B21" s="14" t="n"/>
      <x:c r="C21" s="15">
        <x:f>IF(MONTH(DATE($B$2,4,1)-WEEKDAY(DATE($B$2,4,1),2)+1+36)=4,DATE($B$2,4,1)-WEEKDAY(DATE($B$2,4,1),2)+1+36,"")</x:f>
      </x:c>
      <x:c r="D21" s="14" t="n"/>
      <x:c r="E21" s="15">
        <x:f>IF(MONTH(DATE($B$2,4,1)-WEEKDAY(DATE($B$2,4,1),2)+1+37)=4,DATE($B$2,4,1)-WEEKDAY(DATE($B$2,4,1),2)+1+37,"")</x:f>
      </x:c>
      <x:c r="F21" s="14" t="n"/>
      <x:c r="G21" s="15">
        <x:f>IF(MONTH(DATE($B$2,4,1)-WEEKDAY(DATE($B$2,4,1),2)+1+38)=4,DATE($B$2,4,1)-WEEKDAY(DATE($B$2,4,1),2)+1+38,"")</x:f>
      </x:c>
      <x:c r="H21" s="14" t="n"/>
      <x:c r="I21" s="15">
        <x:f>IF(MONTH(DATE($B$2,4,1)-WEEKDAY(DATE($B$2,4,1),2)+1+39)=4,DATE($B$2,4,1)-WEEKDAY(DATE($B$2,4,1),2)+1+39,"")</x:f>
      </x:c>
      <x:c r="J21" s="14" t="n"/>
      <x:c r="K21" s="15">
        <x:f>IF(MONTH(DATE($B$2,4,1)-WEEKDAY(DATE($B$2,4,1),2)+1+40)=4,DATE($B$2,4,1)-WEEKDAY(DATE($B$2,4,1),2)+1+40,"")</x:f>
      </x:c>
      <x:c r="L21" s="14" t="n"/>
      <x:c r="M21" s="15">
        <x:f>IF(MONTH(DATE($B$2,4,1)-WEEKDAY(DATE($B$2,4,1),2)+1+41)=4,DATE($B$2,4,1)-WEEKDAY(DATE($B$2,4,1),2)+1+41,"")</x:f>
      </x:c>
      <x:c r="N21" s="16" t="n"/>
      <x:c r="P21" s="13">
        <x:f>IF(MONTH(DATE($B$2,5,1)-WEEKDAY(DATE($B$2,5,1),2)+1+35)=5,DATE($B$2,5,1)-WEEKDAY(DATE($B$2,5,1),2)+1+35,"")</x:f>
      </x:c>
      <x:c r="Q21" s="14" t="n"/>
      <x:c r="R21" s="15">
        <x:f>IF(MONTH(DATE($B$2,5,1)-WEEKDAY(DATE($B$2,5,1),2)+1+36)=5,DATE($B$2,5,1)-WEEKDAY(DATE($B$2,5,1),2)+1+36,"")</x:f>
      </x:c>
      <x:c r="S21" s="14" t="n"/>
      <x:c r="T21" s="15">
        <x:f>IF(MONTH(DATE($B$2,5,1)-WEEKDAY(DATE($B$2,5,1),2)+1+37)=5,DATE($B$2,5,1)-WEEKDAY(DATE($B$2,5,1),2)+1+37,"")</x:f>
      </x:c>
      <x:c r="U21" s="14" t="n"/>
      <x:c r="V21" s="15">
        <x:f>IF(MONTH(DATE($B$2,5,1)-WEEKDAY(DATE($B$2,5,1),2)+1+38)=5,DATE($B$2,5,1)-WEEKDAY(DATE($B$2,5,1),2)+1+38,"")</x:f>
      </x:c>
      <x:c r="W21" s="14" t="n"/>
      <x:c r="X21" s="15">
        <x:f>IF(MONTH(DATE($B$2,5,1)-WEEKDAY(DATE($B$2,5,1),2)+1+39)=5,DATE($B$2,5,1)-WEEKDAY(DATE($B$2,5,1),2)+1+39,"")</x:f>
      </x:c>
      <x:c r="Y21" s="14" t="n"/>
      <x:c r="Z21" s="15">
        <x:f>IF(MONTH(DATE($B$2,5,1)-WEEKDAY(DATE($B$2,5,1),2)+1+40)=5,DATE($B$2,5,1)-WEEKDAY(DATE($B$2,5,1),2)+1+40,"")</x:f>
      </x:c>
      <x:c r="AA21" s="14" t="n"/>
      <x:c r="AB21" s="15">
        <x:f>IF(MONTH(DATE($B$2,5,1)-WEEKDAY(DATE($B$2,5,1),2)+1+41)=5,DATE($B$2,5,1)-WEEKDAY(DATE($B$2,5,1),2)+1+41,"")</x:f>
      </x:c>
      <x:c r="AC21" s="16" t="n"/>
      <x:c r="AE21" s="13">
        <x:f>IF(MONTH(DATE($B$2,6,1)-WEEKDAY(DATE($B$2,6,1),2)+1+35)=6,DATE($B$2,6,1)-WEEKDAY(DATE($B$2,6,1),2)+1+35,"")</x:f>
      </x:c>
      <x:c r="AF21" s="14" t="n"/>
      <x:c r="AG21" s="15">
        <x:f>IF(MONTH(DATE($B$2,6,1)-WEEKDAY(DATE($B$2,6,1),2)+1+36)=6,DATE($B$2,6,1)-WEEKDAY(DATE($B$2,6,1),2)+1+36,"")</x:f>
      </x:c>
      <x:c r="AH21" s="14" t="n"/>
      <x:c r="AI21" s="15">
        <x:f>IF(MONTH(DATE($B$2,6,1)-WEEKDAY(DATE($B$2,6,1),2)+1+37)=6,DATE($B$2,6,1)-WEEKDAY(DATE($B$2,6,1),2)+1+37,"")</x:f>
      </x:c>
      <x:c r="AJ21" s="14" t="n"/>
      <x:c r="AK21" s="15">
        <x:f>IF(MONTH(DATE($B$2,6,1)-WEEKDAY(DATE($B$2,6,1),2)+1+38)=6,DATE($B$2,6,1)-WEEKDAY(DATE($B$2,6,1),2)+1+38,"")</x:f>
      </x:c>
      <x:c r="AL21" s="14" t="n"/>
      <x:c r="AM21" s="15">
        <x:f>IF(MONTH(DATE($B$2,6,1)-WEEKDAY(DATE($B$2,6,1),2)+1+39)=6,DATE($B$2,6,1)-WEEKDAY(DATE($B$2,6,1),2)+1+39,"")</x:f>
      </x:c>
      <x:c r="AN21" s="14" t="n"/>
      <x:c r="AO21" s="15">
        <x:f>IF(MONTH(DATE($B$2,6,1)-WEEKDAY(DATE($B$2,6,1),2)+1+40)=6,DATE($B$2,6,1)-WEEKDAY(DATE($B$2,6,1),2)+1+40,"")</x:f>
      </x:c>
      <x:c r="AP21" s="14" t="n"/>
      <x:c r="AQ21" s="15">
        <x:f>IF(MONTH(DATE($B$2,6,1)-WEEKDAY(DATE($B$2,6,1),2)+1+41)=6,DATE($B$2,6,1)-WEEKDAY(DATE($B$2,6,1),2)+1+41,"")</x:f>
      </x:c>
      <x:c r="AR21" s="16" t="n"/>
    </x:row>
    <x:row r="22" ht="6" customHeight="1"/>
    <x:row r="23" ht="20" customHeight="1">
      <x:c r="A23" s="5" t="inlineStr">
        <x:is>
          <x:t xml:space="preserve">Juli</x:t>
        </x:is>
      </x:c>
      <x:c r="N23" s="6" t="n"/>
      <x:c r="P23" s="5" t="inlineStr">
        <x:is>
          <x:t xml:space="preserve">August</x:t>
        </x:is>
      </x:c>
      <x:c r="AC23" s="6" t="n"/>
      <x:c r="AE23" s="5" t="inlineStr">
        <x:is>
          <x:t xml:space="preserve">September</x:t>
        </x:is>
      </x:c>
      <x:c r="AR23" s="6" t="n"/>
    </x:row>
    <x:row r="24" ht="18" customHeight="1">
      <x:c r="A24" s="7" t="inlineStr">
        <x:is>
          <x:t xml:space="preserve">Mo</x:t>
        </x:is>
      </x:c>
      <x:c r="C24" s="8" t="inlineStr">
        <x:is>
          <x:t xml:space="preserve">Di</x:t>
        </x:is>
      </x:c>
      <x:c r="E24" s="8" t="inlineStr">
        <x:is>
          <x:t xml:space="preserve">Mi</x:t>
        </x:is>
      </x:c>
      <x:c r="G24" s="8" t="inlineStr">
        <x:is>
          <x:t xml:space="preserve">Do</x:t>
        </x:is>
      </x:c>
      <x:c r="I24" s="8" t="inlineStr">
        <x:is>
          <x:t xml:space="preserve">Fr</x:t>
        </x:is>
      </x:c>
      <x:c r="K24" s="8" t="inlineStr">
        <x:is>
          <x:t xml:space="preserve">Sa</x:t>
        </x:is>
      </x:c>
      <x:c r="M24" s="8" t="inlineStr">
        <x:is>
          <x:t xml:space="preserve">So</x:t>
        </x:is>
      </x:c>
      <x:c r="N24" s="6" t="n"/>
      <x:c r="P24" s="7" t="inlineStr">
        <x:is>
          <x:t xml:space="preserve">Mo</x:t>
        </x:is>
      </x:c>
      <x:c r="R24" s="8" t="inlineStr">
        <x:is>
          <x:t xml:space="preserve">Di</x:t>
        </x:is>
      </x:c>
      <x:c r="T24" s="8" t="inlineStr">
        <x:is>
          <x:t xml:space="preserve">Mi</x:t>
        </x:is>
      </x:c>
      <x:c r="V24" s="8" t="inlineStr">
        <x:is>
          <x:t xml:space="preserve">Do</x:t>
        </x:is>
      </x:c>
      <x:c r="X24" s="8" t="inlineStr">
        <x:is>
          <x:t xml:space="preserve">Fr</x:t>
        </x:is>
      </x:c>
      <x:c r="Z24" s="8" t="inlineStr">
        <x:is>
          <x:t xml:space="preserve">Sa</x:t>
        </x:is>
      </x:c>
      <x:c r="AB24" s="8" t="inlineStr">
        <x:is>
          <x:t xml:space="preserve">So</x:t>
        </x:is>
      </x:c>
      <x:c r="AC24" s="6" t="n"/>
      <x:c r="AE24" s="7" t="inlineStr">
        <x:is>
          <x:t xml:space="preserve">Mo</x:t>
        </x:is>
      </x:c>
      <x:c r="AG24" s="8" t="inlineStr">
        <x:is>
          <x:t xml:space="preserve">Di</x:t>
        </x:is>
      </x:c>
      <x:c r="AI24" s="8" t="inlineStr">
        <x:is>
          <x:t xml:space="preserve">Mi</x:t>
        </x:is>
      </x:c>
      <x:c r="AK24" s="8" t="inlineStr">
        <x:is>
          <x:t xml:space="preserve">Do</x:t>
        </x:is>
      </x:c>
      <x:c r="AM24" s="8" t="inlineStr">
        <x:is>
          <x:t xml:space="preserve">Fr</x:t>
        </x:is>
      </x:c>
      <x:c r="AO24" s="8" t="inlineStr">
        <x:is>
          <x:t xml:space="preserve">Sa</x:t>
        </x:is>
      </x:c>
      <x:c r="AQ24" s="8" t="inlineStr">
        <x:is>
          <x:t xml:space="preserve">So</x:t>
        </x:is>
      </x:c>
      <x:c r="AR24" s="6" t="n"/>
    </x:row>
    <x:row r="25" ht="24" customHeight="1">
      <x:c r="A25" s="9">
        <x:f>IF(MONTH(DATE($B$2,7,1)-WEEKDAY(DATE($B$2,7,1),2)+1+0)=7,DATE($B$2,7,1)-WEEKDAY(DATE($B$2,7,1),2)+1+0,"")</x:f>
      </x:c>
      <x:c r="B25" s="10" t="n"/>
      <x:c r="C25" s="11">
        <x:f>IF(MONTH(DATE($B$2,7,1)-WEEKDAY(DATE($B$2,7,1),2)+1+1)=7,DATE($B$2,7,1)-WEEKDAY(DATE($B$2,7,1),2)+1+1,"")</x:f>
      </x:c>
      <x:c r="D25" s="10" t="n"/>
      <x:c r="E25" s="11">
        <x:f>IF(MONTH(DATE($B$2,7,1)-WEEKDAY(DATE($B$2,7,1),2)+1+2)=7,DATE($B$2,7,1)-WEEKDAY(DATE($B$2,7,1),2)+1+2,"")</x:f>
        <x:v>46204</x:v>
      </x:c>
      <x:c r="F25" s="10" t="n"/>
      <x:c r="G25" s="11">
        <x:f>IF(MONTH(DATE($B$2,7,1)-WEEKDAY(DATE($B$2,7,1),2)+1+3)=7,DATE($B$2,7,1)-WEEKDAY(DATE($B$2,7,1),2)+1+3,"")</x:f>
        <x:v>46205</x:v>
      </x:c>
      <x:c r="H25" s="10" t="n"/>
      <x:c r="I25" s="11">
        <x:f>IF(MONTH(DATE($B$2,7,1)-WEEKDAY(DATE($B$2,7,1),2)+1+4)=7,DATE($B$2,7,1)-WEEKDAY(DATE($B$2,7,1),2)+1+4,"")</x:f>
        <x:v>46206</x:v>
      </x:c>
      <x:c r="J25" s="10" t="n"/>
      <x:c r="K25" s="11">
        <x:f>IF(MONTH(DATE($B$2,7,1)-WEEKDAY(DATE($B$2,7,1),2)+1+5)=7,DATE($B$2,7,1)-WEEKDAY(DATE($B$2,7,1),2)+1+5,"")</x:f>
        <x:v>46207</x:v>
      </x:c>
      <x:c r="L25" s="10" t="n"/>
      <x:c r="M25" s="11">
        <x:f>IF(MONTH(DATE($B$2,7,1)-WEEKDAY(DATE($B$2,7,1),2)+1+6)=7,DATE($B$2,7,1)-WEEKDAY(DATE($B$2,7,1),2)+1+6,"")</x:f>
        <x:v>46208</x:v>
      </x:c>
      <x:c r="N25" s="12" t="n"/>
      <x:c r="P25" s="9">
        <x:f>IF(MONTH(DATE($B$2,8,1)-WEEKDAY(DATE($B$2,8,1),2)+1+0)=8,DATE($B$2,8,1)-WEEKDAY(DATE($B$2,8,1),2)+1+0,"")</x:f>
      </x:c>
      <x:c r="Q25" s="10" t="n"/>
      <x:c r="R25" s="11">
        <x:f>IF(MONTH(DATE($B$2,8,1)-WEEKDAY(DATE($B$2,8,1),2)+1+1)=8,DATE($B$2,8,1)-WEEKDAY(DATE($B$2,8,1),2)+1+1,"")</x:f>
      </x:c>
      <x:c r="S25" s="10" t="n"/>
      <x:c r="T25" s="11">
        <x:f>IF(MONTH(DATE($B$2,8,1)-WEEKDAY(DATE($B$2,8,1),2)+1+2)=8,DATE($B$2,8,1)-WEEKDAY(DATE($B$2,8,1),2)+1+2,"")</x:f>
      </x:c>
      <x:c r="U25" s="10" t="n"/>
      <x:c r="V25" s="11">
        <x:f>IF(MONTH(DATE($B$2,8,1)-WEEKDAY(DATE($B$2,8,1),2)+1+3)=8,DATE($B$2,8,1)-WEEKDAY(DATE($B$2,8,1),2)+1+3,"")</x:f>
      </x:c>
      <x:c r="W25" s="10" t="n"/>
      <x:c r="X25" s="11">
        <x:f>IF(MONTH(DATE($B$2,8,1)-WEEKDAY(DATE($B$2,8,1),2)+1+4)=8,DATE($B$2,8,1)-WEEKDAY(DATE($B$2,8,1),2)+1+4,"")</x:f>
      </x:c>
      <x:c r="Y25" s="10" t="n"/>
      <x:c r="Z25" s="11">
        <x:f>IF(MONTH(DATE($B$2,8,1)-WEEKDAY(DATE($B$2,8,1),2)+1+5)=8,DATE($B$2,8,1)-WEEKDAY(DATE($B$2,8,1),2)+1+5,"")</x:f>
        <x:v>46235</x:v>
      </x:c>
      <x:c r="AA25" s="10" t="n"/>
      <x:c r="AB25" s="11">
        <x:f>IF(MONTH(DATE($B$2,8,1)-WEEKDAY(DATE($B$2,8,1),2)+1+6)=8,DATE($B$2,8,1)-WEEKDAY(DATE($B$2,8,1),2)+1+6,"")</x:f>
        <x:v>46236</x:v>
      </x:c>
      <x:c r="AC25" s="12" t="n"/>
      <x:c r="AE25" s="9">
        <x:f>IF(MONTH(DATE($B$2,9,1)-WEEKDAY(DATE($B$2,9,1),2)+1+0)=9,DATE($B$2,9,1)-WEEKDAY(DATE($B$2,9,1),2)+1+0,"")</x:f>
      </x:c>
      <x:c r="AF25" s="10" t="n"/>
      <x:c r="AG25" s="11">
        <x:f>IF(MONTH(DATE($B$2,9,1)-WEEKDAY(DATE($B$2,9,1),2)+1+1)=9,DATE($B$2,9,1)-WEEKDAY(DATE($B$2,9,1),2)+1+1,"")</x:f>
        <x:v>46266</x:v>
      </x:c>
      <x:c r="AH25" s="10" t="n"/>
      <x:c r="AI25" s="11">
        <x:f>IF(MONTH(DATE($B$2,9,1)-WEEKDAY(DATE($B$2,9,1),2)+1+2)=9,DATE($B$2,9,1)-WEEKDAY(DATE($B$2,9,1),2)+1+2,"")</x:f>
        <x:v>46267</x:v>
      </x:c>
      <x:c r="AJ25" s="10" t="n"/>
      <x:c r="AK25" s="11">
        <x:f>IF(MONTH(DATE($B$2,9,1)-WEEKDAY(DATE($B$2,9,1),2)+1+3)=9,DATE($B$2,9,1)-WEEKDAY(DATE($B$2,9,1),2)+1+3,"")</x:f>
        <x:v>46268</x:v>
      </x:c>
      <x:c r="AL25" s="10" t="n"/>
      <x:c r="AM25" s="11">
        <x:f>IF(MONTH(DATE($B$2,9,1)-WEEKDAY(DATE($B$2,9,1),2)+1+4)=9,DATE($B$2,9,1)-WEEKDAY(DATE($B$2,9,1),2)+1+4,"")</x:f>
        <x:v>46269</x:v>
      </x:c>
      <x:c r="AN25" s="10" t="n"/>
      <x:c r="AO25" s="11">
        <x:f>IF(MONTH(DATE($B$2,9,1)-WEEKDAY(DATE($B$2,9,1),2)+1+5)=9,DATE($B$2,9,1)-WEEKDAY(DATE($B$2,9,1),2)+1+5,"")</x:f>
        <x:v>46270</x:v>
      </x:c>
      <x:c r="AP25" s="10" t="n"/>
      <x:c r="AQ25" s="11">
        <x:f>IF(MONTH(DATE($B$2,9,1)-WEEKDAY(DATE($B$2,9,1),2)+1+6)=9,DATE($B$2,9,1)-WEEKDAY(DATE($B$2,9,1),2)+1+6,"")</x:f>
        <x:v>46271</x:v>
      </x:c>
      <x:c r="AR25" s="12" t="n"/>
    </x:row>
    <x:row r="26" ht="24" customHeight="1">
      <x:c r="A26" s="9">
        <x:f>IF(MONTH(DATE($B$2,7,1)-WEEKDAY(DATE($B$2,7,1),2)+1+7)=7,DATE($B$2,7,1)-WEEKDAY(DATE($B$2,7,1),2)+1+7,"")</x:f>
        <x:v>46209</x:v>
      </x:c>
      <x:c r="B26" s="10" t="inlineStr">
        <x:is>
          <x:t xml:space="preserve">Sommerurlaub</x:t>
        </x:is>
      </x:c>
      <x:c r="C26" s="11">
        <x:f>IF(MONTH(DATE($B$2,7,1)-WEEKDAY(DATE($B$2,7,1),2)+1+8)=7,DATE($B$2,7,1)-WEEKDAY(DATE($B$2,7,1),2)+1+8,"")</x:f>
        <x:v>46210</x:v>
      </x:c>
      <x:c r="D26" s="10" t="n"/>
      <x:c r="E26" s="11">
        <x:f>IF(MONTH(DATE($B$2,7,1)-WEEKDAY(DATE($B$2,7,1),2)+1+9)=7,DATE($B$2,7,1)-WEEKDAY(DATE($B$2,7,1),2)+1+9,"")</x:f>
        <x:v>46211</x:v>
      </x:c>
      <x:c r="F26" s="10" t="n"/>
      <x:c r="G26" s="11">
        <x:f>IF(MONTH(DATE($B$2,7,1)-WEEKDAY(DATE($B$2,7,1),2)+1+10)=7,DATE($B$2,7,1)-WEEKDAY(DATE($B$2,7,1),2)+1+10,"")</x:f>
        <x:v>46212</x:v>
      </x:c>
      <x:c r="H26" s="10" t="n"/>
      <x:c r="I26" s="11">
        <x:f>IF(MONTH(DATE($B$2,7,1)-WEEKDAY(DATE($B$2,7,1),2)+1+11)=7,DATE($B$2,7,1)-WEEKDAY(DATE($B$2,7,1),2)+1+11,"")</x:f>
        <x:v>46213</x:v>
      </x:c>
      <x:c r="J26" s="10" t="n"/>
      <x:c r="K26" s="11">
        <x:f>IF(MONTH(DATE($B$2,7,1)-WEEKDAY(DATE($B$2,7,1),2)+1+12)=7,DATE($B$2,7,1)-WEEKDAY(DATE($B$2,7,1),2)+1+12,"")</x:f>
        <x:v>46214</x:v>
      </x:c>
      <x:c r="L26" s="10" t="n"/>
      <x:c r="M26" s="11">
        <x:f>IF(MONTH(DATE($B$2,7,1)-WEEKDAY(DATE($B$2,7,1),2)+1+13)=7,DATE($B$2,7,1)-WEEKDAY(DATE($B$2,7,1),2)+1+13,"")</x:f>
        <x:v>46215</x:v>
      </x:c>
      <x:c r="N26" s="12" t="n"/>
      <x:c r="P26" s="9">
        <x:f>IF(MONTH(DATE($B$2,8,1)-WEEKDAY(DATE($B$2,8,1),2)+1+7)=8,DATE($B$2,8,1)-WEEKDAY(DATE($B$2,8,1),2)+1+7,"")</x:f>
        <x:v>46237</x:v>
      </x:c>
      <x:c r="Q26" s="10" t="n"/>
      <x:c r="R26" s="11">
        <x:f>IF(MONTH(DATE($B$2,8,1)-WEEKDAY(DATE($B$2,8,1),2)+1+8)=8,DATE($B$2,8,1)-WEEKDAY(DATE($B$2,8,1),2)+1+8,"")</x:f>
        <x:v>46238</x:v>
      </x:c>
      <x:c r="S26" s="10" t="inlineStr">
        <x:is>
          <x:t xml:space="preserve">Zahnarzt</x:t>
        </x:is>
      </x:c>
      <x:c r="T26" s="11">
        <x:f>IF(MONTH(DATE($B$2,8,1)-WEEKDAY(DATE($B$2,8,1),2)+1+9)=8,DATE($B$2,8,1)-WEEKDAY(DATE($B$2,8,1),2)+1+9,"")</x:f>
        <x:v>46239</x:v>
      </x:c>
      <x:c r="U26" s="10" t="n"/>
      <x:c r="V26" s="11">
        <x:f>IF(MONTH(DATE($B$2,8,1)-WEEKDAY(DATE($B$2,8,1),2)+1+10)=8,DATE($B$2,8,1)-WEEKDAY(DATE($B$2,8,1),2)+1+10,"")</x:f>
        <x:v>46240</x:v>
      </x:c>
      <x:c r="W26" s="10" t="n"/>
      <x:c r="X26" s="11">
        <x:f>IF(MONTH(DATE($B$2,8,1)-WEEKDAY(DATE($B$2,8,1),2)+1+11)=8,DATE($B$2,8,1)-WEEKDAY(DATE($B$2,8,1),2)+1+11,"")</x:f>
        <x:v>46241</x:v>
      </x:c>
      <x:c r="Y26" s="10" t="n"/>
      <x:c r="Z26" s="11">
        <x:f>IF(MONTH(DATE($B$2,8,1)-WEEKDAY(DATE($B$2,8,1),2)+1+12)=8,DATE($B$2,8,1)-WEEKDAY(DATE($B$2,8,1),2)+1+12,"")</x:f>
        <x:v>46242</x:v>
      </x:c>
      <x:c r="AA26" s="10" t="n"/>
      <x:c r="AB26" s="11">
        <x:f>IF(MONTH(DATE($B$2,8,1)-WEEKDAY(DATE($B$2,8,1),2)+1+13)=8,DATE($B$2,8,1)-WEEKDAY(DATE($B$2,8,1),2)+1+13,"")</x:f>
        <x:v>46243</x:v>
      </x:c>
      <x:c r="AC26" s="12" t="n"/>
      <x:c r="AE26" s="9">
        <x:f>IF(MONTH(DATE($B$2,9,1)-WEEKDAY(DATE($B$2,9,1),2)+1+7)=9,DATE($B$2,9,1)-WEEKDAY(DATE($B$2,9,1),2)+1+7,"")</x:f>
        <x:v>46272</x:v>
      </x:c>
      <x:c r="AF26" s="10" t="n"/>
      <x:c r="AG26" s="11">
        <x:f>IF(MONTH(DATE($B$2,9,1)-WEEKDAY(DATE($B$2,9,1),2)+1+8)=9,DATE($B$2,9,1)-WEEKDAY(DATE($B$2,9,1),2)+1+8,"")</x:f>
        <x:v>46273</x:v>
      </x:c>
      <x:c r="AH26" s="10" t="n"/>
      <x:c r="AI26" s="11">
        <x:f>IF(MONTH(DATE($B$2,9,1)-WEEKDAY(DATE($B$2,9,1),2)+1+9)=9,DATE($B$2,9,1)-WEEKDAY(DATE($B$2,9,1),2)+1+9,"")</x:f>
        <x:v>46274</x:v>
      </x:c>
      <x:c r="AJ26" s="10" t="inlineStr">
        <x:is>
          <x:t xml:space="preserve">Strategie-Meeting</x:t>
        </x:is>
      </x:c>
      <x:c r="AK26" s="11">
        <x:f>IF(MONTH(DATE($B$2,9,1)-WEEKDAY(DATE($B$2,9,1),2)+1+10)=9,DATE($B$2,9,1)-WEEKDAY(DATE($B$2,9,1),2)+1+10,"")</x:f>
        <x:v>46275</x:v>
      </x:c>
      <x:c r="AL26" s="10" t="n"/>
      <x:c r="AM26" s="11">
        <x:f>IF(MONTH(DATE($B$2,9,1)-WEEKDAY(DATE($B$2,9,1),2)+1+11)=9,DATE($B$2,9,1)-WEEKDAY(DATE($B$2,9,1),2)+1+11,"")</x:f>
        <x:v>46276</x:v>
      </x:c>
      <x:c r="AN26" s="10" t="n"/>
      <x:c r="AO26" s="11">
        <x:f>IF(MONTH(DATE($B$2,9,1)-WEEKDAY(DATE($B$2,9,1),2)+1+12)=9,DATE($B$2,9,1)-WEEKDAY(DATE($B$2,9,1),2)+1+12,"")</x:f>
        <x:v>46277</x:v>
      </x:c>
      <x:c r="AP26" s="10" t="n"/>
      <x:c r="AQ26" s="11">
        <x:f>IF(MONTH(DATE($B$2,9,1)-WEEKDAY(DATE($B$2,9,1),2)+1+13)=9,DATE($B$2,9,1)-WEEKDAY(DATE($B$2,9,1),2)+1+13,"")</x:f>
        <x:v>46278</x:v>
      </x:c>
      <x:c r="AR26" s="12" t="n"/>
    </x:row>
    <x:row r="27" ht="24" customHeight="1">
      <x:c r="A27" s="9">
        <x:f>IF(MONTH(DATE($B$2,7,1)-WEEKDAY(DATE($B$2,7,1),2)+1+14)=7,DATE($B$2,7,1)-WEEKDAY(DATE($B$2,7,1),2)+1+14,"")</x:f>
        <x:v>46216</x:v>
      </x:c>
      <x:c r="B27" s="10" t="n"/>
      <x:c r="C27" s="11">
        <x:f>IF(MONTH(DATE($B$2,7,1)-WEEKDAY(DATE($B$2,7,1),2)+1+15)=7,DATE($B$2,7,1)-WEEKDAY(DATE($B$2,7,1),2)+1+15,"")</x:f>
        <x:v>46217</x:v>
      </x:c>
      <x:c r="D27" s="10" t="n"/>
      <x:c r="E27" s="11">
        <x:f>IF(MONTH(DATE($B$2,7,1)-WEEKDAY(DATE($B$2,7,1),2)+1+16)=7,DATE($B$2,7,1)-WEEKDAY(DATE($B$2,7,1),2)+1+16,"")</x:f>
        <x:v>46218</x:v>
      </x:c>
      <x:c r="F27" s="10" t="inlineStr">
        <x:is>
          <x:t xml:space="preserve">Team-Lunch</x:t>
        </x:is>
      </x:c>
      <x:c r="G27" s="11">
        <x:f>IF(MONTH(DATE($B$2,7,1)-WEEKDAY(DATE($B$2,7,1),2)+1+17)=7,DATE($B$2,7,1)-WEEKDAY(DATE($B$2,7,1),2)+1+17,"")</x:f>
        <x:v>46219</x:v>
      </x:c>
      <x:c r="H27" s="10" t="n"/>
      <x:c r="I27" s="11">
        <x:f>IF(MONTH(DATE($B$2,7,1)-WEEKDAY(DATE($B$2,7,1),2)+1+18)=7,DATE($B$2,7,1)-WEEKDAY(DATE($B$2,7,1),2)+1+18,"")</x:f>
        <x:v>46220</x:v>
      </x:c>
      <x:c r="J27" s="10" t="n"/>
      <x:c r="K27" s="11">
        <x:f>IF(MONTH(DATE($B$2,7,1)-WEEKDAY(DATE($B$2,7,1),2)+1+19)=7,DATE($B$2,7,1)-WEEKDAY(DATE($B$2,7,1),2)+1+19,"")</x:f>
        <x:v>46221</x:v>
      </x:c>
      <x:c r="L27" s="10" t="n"/>
      <x:c r="M27" s="11">
        <x:f>IF(MONTH(DATE($B$2,7,1)-WEEKDAY(DATE($B$2,7,1),2)+1+20)=7,DATE($B$2,7,1)-WEEKDAY(DATE($B$2,7,1),2)+1+20,"")</x:f>
        <x:v>46222</x:v>
      </x:c>
      <x:c r="N27" s="12" t="n"/>
      <x:c r="P27" s="9">
        <x:f>IF(MONTH(DATE($B$2,8,1)-WEEKDAY(DATE($B$2,8,1),2)+1+14)=8,DATE($B$2,8,1)-WEEKDAY(DATE($B$2,8,1),2)+1+14,"")</x:f>
        <x:v>46244</x:v>
      </x:c>
      <x:c r="Q27" s="10" t="n"/>
      <x:c r="R27" s="11">
        <x:f>IF(MONTH(DATE($B$2,8,1)-WEEKDAY(DATE($B$2,8,1),2)+1+15)=8,DATE($B$2,8,1)-WEEKDAY(DATE($B$2,8,1),2)+1+15,"")</x:f>
        <x:v>46245</x:v>
      </x:c>
      <x:c r="S27" s="10" t="n"/>
      <x:c r="T27" s="11">
        <x:f>IF(MONTH(DATE($B$2,8,1)-WEEKDAY(DATE($B$2,8,1),2)+1+16)=8,DATE($B$2,8,1)-WEEKDAY(DATE($B$2,8,1),2)+1+16,"")</x:f>
        <x:v>46246</x:v>
      </x:c>
      <x:c r="U27" s="10" t="n"/>
      <x:c r="V27" s="11">
        <x:f>IF(MONTH(DATE($B$2,8,1)-WEEKDAY(DATE($B$2,8,1),2)+1+17)=8,DATE($B$2,8,1)-WEEKDAY(DATE($B$2,8,1),2)+1+17,"")</x:f>
        <x:v>46247</x:v>
      </x:c>
      <x:c r="W27" s="10" t="n"/>
      <x:c r="X27" s="11">
        <x:f>IF(MONTH(DATE($B$2,8,1)-WEEKDAY(DATE($B$2,8,1),2)+1+18)=8,DATE($B$2,8,1)-WEEKDAY(DATE($B$2,8,1),2)+1+18,"")</x:f>
        <x:v>46248</x:v>
      </x:c>
      <x:c r="Y27" s="10" t="n"/>
      <x:c r="Z27" s="11">
        <x:f>IF(MONTH(DATE($B$2,8,1)-WEEKDAY(DATE($B$2,8,1),2)+1+19)=8,DATE($B$2,8,1)-WEEKDAY(DATE($B$2,8,1),2)+1+19,"")</x:f>
        <x:v>46249</x:v>
      </x:c>
      <x:c r="AA27" s="10" t="n"/>
      <x:c r="AB27" s="11">
        <x:f>IF(MONTH(DATE($B$2,8,1)-WEEKDAY(DATE($B$2,8,1),2)+1+20)=8,DATE($B$2,8,1)-WEEKDAY(DATE($B$2,8,1),2)+1+20,"")</x:f>
        <x:v>46250</x:v>
      </x:c>
      <x:c r="AC27" s="12" t="n"/>
      <x:c r="AE27" s="9">
        <x:f>IF(MONTH(DATE($B$2,9,1)-WEEKDAY(DATE($B$2,9,1),2)+1+14)=9,DATE($B$2,9,1)-WEEKDAY(DATE($B$2,9,1),2)+1+14,"")</x:f>
        <x:v>46279</x:v>
      </x:c>
      <x:c r="AF27" s="10" t="n"/>
      <x:c r="AG27" s="11">
        <x:f>IF(MONTH(DATE($B$2,9,1)-WEEKDAY(DATE($B$2,9,1),2)+1+15)=9,DATE($B$2,9,1)-WEEKDAY(DATE($B$2,9,1),2)+1+15,"")</x:f>
        <x:v>46280</x:v>
      </x:c>
      <x:c r="AH27" s="10" t="n"/>
      <x:c r="AI27" s="11">
        <x:f>IF(MONTH(DATE($B$2,9,1)-WEEKDAY(DATE($B$2,9,1),2)+1+16)=9,DATE($B$2,9,1)-WEEKDAY(DATE($B$2,9,1),2)+1+16,"")</x:f>
        <x:v>46281</x:v>
      </x:c>
      <x:c r="AJ27" s="10" t="n"/>
      <x:c r="AK27" s="11">
        <x:f>IF(MONTH(DATE($B$2,9,1)-WEEKDAY(DATE($B$2,9,1),2)+1+17)=9,DATE($B$2,9,1)-WEEKDAY(DATE($B$2,9,1),2)+1+17,"")</x:f>
        <x:v>46282</x:v>
      </x:c>
      <x:c r="AL27" s="10" t="n"/>
      <x:c r="AM27" s="11">
        <x:f>IF(MONTH(DATE($B$2,9,1)-WEEKDAY(DATE($B$2,9,1),2)+1+18)=9,DATE($B$2,9,1)-WEEKDAY(DATE($B$2,9,1),2)+1+18,"")</x:f>
        <x:v>46283</x:v>
      </x:c>
      <x:c r="AN27" s="10" t="n"/>
      <x:c r="AO27" s="11">
        <x:f>IF(MONTH(DATE($B$2,9,1)-WEEKDAY(DATE($B$2,9,1),2)+1+19)=9,DATE($B$2,9,1)-WEEKDAY(DATE($B$2,9,1),2)+1+19,"")</x:f>
        <x:v>46284</x:v>
      </x:c>
      <x:c r="AP27" s="10" t="n"/>
      <x:c r="AQ27" s="11">
        <x:f>IF(MONTH(DATE($B$2,9,1)-WEEKDAY(DATE($B$2,9,1),2)+1+20)=9,DATE($B$2,9,1)-WEEKDAY(DATE($B$2,9,1),2)+1+20,"")</x:f>
        <x:v>46285</x:v>
      </x:c>
      <x:c r="AR27" s="12" t="n"/>
    </x:row>
    <x:row r="28" ht="24" customHeight="1">
      <x:c r="A28" s="9">
        <x:f>IF(MONTH(DATE($B$2,7,1)-WEEKDAY(DATE($B$2,7,1),2)+1+21)=7,DATE($B$2,7,1)-WEEKDAY(DATE($B$2,7,1),2)+1+21,"")</x:f>
        <x:v>46223</x:v>
      </x:c>
      <x:c r="B28" s="10" t="n"/>
      <x:c r="C28" s="11">
        <x:f>IF(MONTH(DATE($B$2,7,1)-WEEKDAY(DATE($B$2,7,1),2)+1+22)=7,DATE($B$2,7,1)-WEEKDAY(DATE($B$2,7,1),2)+1+22,"")</x:f>
        <x:v>46224</x:v>
      </x:c>
      <x:c r="D28" s="10" t="n"/>
      <x:c r="E28" s="11">
        <x:f>IF(MONTH(DATE($B$2,7,1)-WEEKDAY(DATE($B$2,7,1),2)+1+23)=7,DATE($B$2,7,1)-WEEKDAY(DATE($B$2,7,1),2)+1+23,"")</x:f>
        <x:v>46225</x:v>
      </x:c>
      <x:c r="F28" s="10" t="n"/>
      <x:c r="G28" s="11">
        <x:f>IF(MONTH(DATE($B$2,7,1)-WEEKDAY(DATE($B$2,7,1),2)+1+24)=7,DATE($B$2,7,1)-WEEKDAY(DATE($B$2,7,1),2)+1+24,"")</x:f>
        <x:v>46226</x:v>
      </x:c>
      <x:c r="H28" s="10" t="n"/>
      <x:c r="I28" s="11">
        <x:f>IF(MONTH(DATE($B$2,7,1)-WEEKDAY(DATE($B$2,7,1),2)+1+25)=7,DATE($B$2,7,1)-WEEKDAY(DATE($B$2,7,1),2)+1+25,"")</x:f>
        <x:v>46227</x:v>
      </x:c>
      <x:c r="J28" s="10" t="n"/>
      <x:c r="K28" s="11">
        <x:f>IF(MONTH(DATE($B$2,7,1)-WEEKDAY(DATE($B$2,7,1),2)+1+26)=7,DATE($B$2,7,1)-WEEKDAY(DATE($B$2,7,1),2)+1+26,"")</x:f>
        <x:v>46228</x:v>
      </x:c>
      <x:c r="L28" s="10" t="n"/>
      <x:c r="M28" s="11">
        <x:f>IF(MONTH(DATE($B$2,7,1)-WEEKDAY(DATE($B$2,7,1),2)+1+27)=7,DATE($B$2,7,1)-WEEKDAY(DATE($B$2,7,1),2)+1+27,"")</x:f>
        <x:v>46229</x:v>
      </x:c>
      <x:c r="N28" s="12" t="n"/>
      <x:c r="P28" s="9">
        <x:f>IF(MONTH(DATE($B$2,8,1)-WEEKDAY(DATE($B$2,8,1),2)+1+21)=8,DATE($B$2,8,1)-WEEKDAY(DATE($B$2,8,1),2)+1+21,"")</x:f>
        <x:v>46251</x:v>
      </x:c>
      <x:c r="Q28" s="10" t="inlineStr">
        <x:is>
          <x:t xml:space="preserve">Training</x:t>
        </x:is>
      </x:c>
      <x:c r="R28" s="11">
        <x:f>IF(MONTH(DATE($B$2,8,1)-WEEKDAY(DATE($B$2,8,1),2)+1+22)=8,DATE($B$2,8,1)-WEEKDAY(DATE($B$2,8,1),2)+1+22,"")</x:f>
        <x:v>46252</x:v>
      </x:c>
      <x:c r="S28" s="10" t="n"/>
      <x:c r="T28" s="11">
        <x:f>IF(MONTH(DATE($B$2,8,1)-WEEKDAY(DATE($B$2,8,1),2)+1+23)=8,DATE($B$2,8,1)-WEEKDAY(DATE($B$2,8,1),2)+1+23,"")</x:f>
        <x:v>46253</x:v>
      </x:c>
      <x:c r="U28" s="10" t="n"/>
      <x:c r="V28" s="11">
        <x:f>IF(MONTH(DATE($B$2,8,1)-WEEKDAY(DATE($B$2,8,1),2)+1+24)=8,DATE($B$2,8,1)-WEEKDAY(DATE($B$2,8,1),2)+1+24,"")</x:f>
        <x:v>46254</x:v>
      </x:c>
      <x:c r="W28" s="10" t="n"/>
      <x:c r="X28" s="11">
        <x:f>IF(MONTH(DATE($B$2,8,1)-WEEKDAY(DATE($B$2,8,1),2)+1+25)=8,DATE($B$2,8,1)-WEEKDAY(DATE($B$2,8,1),2)+1+25,"")</x:f>
        <x:v>46255</x:v>
      </x:c>
      <x:c r="Y28" s="10" t="n"/>
      <x:c r="Z28" s="11">
        <x:f>IF(MONTH(DATE($B$2,8,1)-WEEKDAY(DATE($B$2,8,1),2)+1+26)=8,DATE($B$2,8,1)-WEEKDAY(DATE($B$2,8,1),2)+1+26,"")</x:f>
        <x:v>46256</x:v>
      </x:c>
      <x:c r="AA28" s="10" t="n"/>
      <x:c r="AB28" s="11">
        <x:f>IF(MONTH(DATE($B$2,8,1)-WEEKDAY(DATE($B$2,8,1),2)+1+27)=8,DATE($B$2,8,1)-WEEKDAY(DATE($B$2,8,1),2)+1+27,"")</x:f>
        <x:v>46257</x:v>
      </x:c>
      <x:c r="AC28" s="12" t="n"/>
      <x:c r="AE28" s="9">
        <x:f>IF(MONTH(DATE($B$2,9,1)-WEEKDAY(DATE($B$2,9,1),2)+1+21)=9,DATE($B$2,9,1)-WEEKDAY(DATE($B$2,9,1),2)+1+21,"")</x:f>
        <x:v>46286</x:v>
      </x:c>
      <x:c r="AF28" s="10" t="inlineStr">
        <x:is>
          <x:t xml:space="preserve">Demo vorbereiten</x:t>
        </x:is>
      </x:c>
      <x:c r="AG28" s="11">
        <x:f>IF(MONTH(DATE($B$2,9,1)-WEEKDAY(DATE($B$2,9,1),2)+1+22)=9,DATE($B$2,9,1)-WEEKDAY(DATE($B$2,9,1),2)+1+22,"")</x:f>
        <x:v>46287</x:v>
      </x:c>
      <x:c r="AH28" s="10" t="n"/>
      <x:c r="AI28" s="11">
        <x:f>IF(MONTH(DATE($B$2,9,1)-WEEKDAY(DATE($B$2,9,1),2)+1+23)=9,DATE($B$2,9,1)-WEEKDAY(DATE($B$2,9,1),2)+1+23,"")</x:f>
        <x:v>46288</x:v>
      </x:c>
      <x:c r="AJ28" s="10" t="n"/>
      <x:c r="AK28" s="11">
        <x:f>IF(MONTH(DATE($B$2,9,1)-WEEKDAY(DATE($B$2,9,1),2)+1+24)=9,DATE($B$2,9,1)-WEEKDAY(DATE($B$2,9,1),2)+1+24,"")</x:f>
        <x:v>46289</x:v>
      </x:c>
      <x:c r="AL28" s="10" t="n"/>
      <x:c r="AM28" s="11">
        <x:f>IF(MONTH(DATE($B$2,9,1)-WEEKDAY(DATE($B$2,9,1),2)+1+25)=9,DATE($B$2,9,1)-WEEKDAY(DATE($B$2,9,1),2)+1+25,"")</x:f>
        <x:v>46290</x:v>
      </x:c>
      <x:c r="AN28" s="10" t="n"/>
      <x:c r="AO28" s="11">
        <x:f>IF(MONTH(DATE($B$2,9,1)-WEEKDAY(DATE($B$2,9,1),2)+1+26)=9,DATE($B$2,9,1)-WEEKDAY(DATE($B$2,9,1),2)+1+26,"")</x:f>
        <x:v>46291</x:v>
      </x:c>
      <x:c r="AP28" s="10" t="n"/>
      <x:c r="AQ28" s="11">
        <x:f>IF(MONTH(DATE($B$2,9,1)-WEEKDAY(DATE($B$2,9,1),2)+1+27)=9,DATE($B$2,9,1)-WEEKDAY(DATE($B$2,9,1),2)+1+27,"")</x:f>
        <x:v>46292</x:v>
      </x:c>
      <x:c r="AR28" s="12" t="n"/>
    </x:row>
    <x:row r="29" ht="24" customHeight="1">
      <x:c r="A29" s="9">
        <x:f>IF(MONTH(DATE($B$2,7,1)-WEEKDAY(DATE($B$2,7,1),2)+1+28)=7,DATE($B$2,7,1)-WEEKDAY(DATE($B$2,7,1),2)+1+28,"")</x:f>
        <x:v>46230</x:v>
      </x:c>
      <x:c r="B29" s="10" t="inlineStr">
        <x:is>
          <x:t xml:space="preserve">Follow-up</x:t>
        </x:is>
      </x:c>
      <x:c r="C29" s="11">
        <x:f>IF(MONTH(DATE($B$2,7,1)-WEEKDAY(DATE($B$2,7,1),2)+1+29)=7,DATE($B$2,7,1)-WEEKDAY(DATE($B$2,7,1),2)+1+29,"")</x:f>
        <x:v>46231</x:v>
      </x:c>
      <x:c r="D29" s="10" t="n"/>
      <x:c r="E29" s="11">
        <x:f>IF(MONTH(DATE($B$2,7,1)-WEEKDAY(DATE($B$2,7,1),2)+1+30)=7,DATE($B$2,7,1)-WEEKDAY(DATE($B$2,7,1),2)+1+30,"")</x:f>
        <x:v>46232</x:v>
      </x:c>
      <x:c r="F29" s="10" t="n"/>
      <x:c r="G29" s="11">
        <x:f>IF(MONTH(DATE($B$2,7,1)-WEEKDAY(DATE($B$2,7,1),2)+1+31)=7,DATE($B$2,7,1)-WEEKDAY(DATE($B$2,7,1),2)+1+31,"")</x:f>
        <x:v>46233</x:v>
      </x:c>
      <x:c r="H29" s="10" t="n"/>
      <x:c r="I29" s="11">
        <x:f>IF(MONTH(DATE($B$2,7,1)-WEEKDAY(DATE($B$2,7,1),2)+1+32)=7,DATE($B$2,7,1)-WEEKDAY(DATE($B$2,7,1),2)+1+32,"")</x:f>
        <x:v>46234</x:v>
      </x:c>
      <x:c r="J29" s="10" t="n"/>
      <x:c r="K29" s="11">
        <x:f>IF(MONTH(DATE($B$2,7,1)-WEEKDAY(DATE($B$2,7,1),2)+1+33)=7,DATE($B$2,7,1)-WEEKDAY(DATE($B$2,7,1),2)+1+33,"")</x:f>
      </x:c>
      <x:c r="L29" s="10" t="n"/>
      <x:c r="M29" s="11">
        <x:f>IF(MONTH(DATE($B$2,7,1)-WEEKDAY(DATE($B$2,7,1),2)+1+34)=7,DATE($B$2,7,1)-WEEKDAY(DATE($B$2,7,1),2)+1+34,"")</x:f>
      </x:c>
      <x:c r="N29" s="12" t="n"/>
      <x:c r="P29" s="9">
        <x:f>IF(MONTH(DATE($B$2,8,1)-WEEKDAY(DATE($B$2,8,1),2)+1+28)=8,DATE($B$2,8,1)-WEEKDAY(DATE($B$2,8,1),2)+1+28,"")</x:f>
        <x:v>46258</x:v>
      </x:c>
      <x:c r="Q29" s="10" t="n"/>
      <x:c r="R29" s="11">
        <x:f>IF(MONTH(DATE($B$2,8,1)-WEEKDAY(DATE($B$2,8,1),2)+1+29)=8,DATE($B$2,8,1)-WEEKDAY(DATE($B$2,8,1),2)+1+29,"")</x:f>
        <x:v>46259</x:v>
      </x:c>
      <x:c r="S29" s="10" t="n"/>
      <x:c r="T29" s="11">
        <x:f>IF(MONTH(DATE($B$2,8,1)-WEEKDAY(DATE($B$2,8,1),2)+1+30)=8,DATE($B$2,8,1)-WEEKDAY(DATE($B$2,8,1),2)+1+30,"")</x:f>
        <x:v>46260</x:v>
      </x:c>
      <x:c r="U29" s="10" t="inlineStr">
        <x:is>
          <x:t xml:space="preserve">Rechnung prüfen</x:t>
        </x:is>
      </x:c>
      <x:c r="V29" s="11">
        <x:f>IF(MONTH(DATE($B$2,8,1)-WEEKDAY(DATE($B$2,8,1),2)+1+31)=8,DATE($B$2,8,1)-WEEKDAY(DATE($B$2,8,1),2)+1+31,"")</x:f>
        <x:v>46261</x:v>
      </x:c>
      <x:c r="W29" s="10" t="n"/>
      <x:c r="X29" s="11">
        <x:f>IF(MONTH(DATE($B$2,8,1)-WEEKDAY(DATE($B$2,8,1),2)+1+32)=8,DATE($B$2,8,1)-WEEKDAY(DATE($B$2,8,1),2)+1+32,"")</x:f>
        <x:v>46262</x:v>
      </x:c>
      <x:c r="Y29" s="10" t="n"/>
      <x:c r="Z29" s="11">
        <x:f>IF(MONTH(DATE($B$2,8,1)-WEEKDAY(DATE($B$2,8,1),2)+1+33)=8,DATE($B$2,8,1)-WEEKDAY(DATE($B$2,8,1),2)+1+33,"")</x:f>
        <x:v>46263</x:v>
      </x:c>
      <x:c r="AA29" s="10" t="n"/>
      <x:c r="AB29" s="11">
        <x:f>IF(MONTH(DATE($B$2,8,1)-WEEKDAY(DATE($B$2,8,1),2)+1+34)=8,DATE($B$2,8,1)-WEEKDAY(DATE($B$2,8,1),2)+1+34,"")</x:f>
        <x:v>46264</x:v>
      </x:c>
      <x:c r="AC29" s="12" t="n"/>
      <x:c r="AE29" s="9">
        <x:f>IF(MONTH(DATE($B$2,9,1)-WEEKDAY(DATE($B$2,9,1),2)+1+28)=9,DATE($B$2,9,1)-WEEKDAY(DATE($B$2,9,1),2)+1+28,"")</x:f>
        <x:v>46293</x:v>
      </x:c>
      <x:c r="AF29" s="10" t="n"/>
      <x:c r="AG29" s="11">
        <x:f>IF(MONTH(DATE($B$2,9,1)-WEEKDAY(DATE($B$2,9,1),2)+1+29)=9,DATE($B$2,9,1)-WEEKDAY(DATE($B$2,9,1),2)+1+29,"")</x:f>
        <x:v>46294</x:v>
      </x:c>
      <x:c r="AH29" s="10" t="inlineStr">
        <x:is>
          <x:t xml:space="preserve">Notizen ordnen</x:t>
        </x:is>
      </x:c>
      <x:c r="AI29" s="11">
        <x:f>IF(MONTH(DATE($B$2,9,1)-WEEKDAY(DATE($B$2,9,1),2)+1+30)=9,DATE($B$2,9,1)-WEEKDAY(DATE($B$2,9,1),2)+1+30,"")</x:f>
        <x:v>46295</x:v>
      </x:c>
      <x:c r="AJ29" s="10" t="n"/>
      <x:c r="AK29" s="11">
        <x:f>IF(MONTH(DATE($B$2,9,1)-WEEKDAY(DATE($B$2,9,1),2)+1+31)=9,DATE($B$2,9,1)-WEEKDAY(DATE($B$2,9,1),2)+1+31,"")</x:f>
      </x:c>
      <x:c r="AL29" s="10" t="n"/>
      <x:c r="AM29" s="11">
        <x:f>IF(MONTH(DATE($B$2,9,1)-WEEKDAY(DATE($B$2,9,1),2)+1+32)=9,DATE($B$2,9,1)-WEEKDAY(DATE($B$2,9,1),2)+1+32,"")</x:f>
      </x:c>
      <x:c r="AN29" s="10" t="n"/>
      <x:c r="AO29" s="11">
        <x:f>IF(MONTH(DATE($B$2,9,1)-WEEKDAY(DATE($B$2,9,1),2)+1+33)=9,DATE($B$2,9,1)-WEEKDAY(DATE($B$2,9,1),2)+1+33,"")</x:f>
      </x:c>
      <x:c r="AP29" s="10" t="n"/>
      <x:c r="AQ29" s="11">
        <x:f>IF(MONTH(DATE($B$2,9,1)-WEEKDAY(DATE($B$2,9,1),2)+1+34)=9,DATE($B$2,9,1)-WEEKDAY(DATE($B$2,9,1),2)+1+34,"")</x:f>
      </x:c>
      <x:c r="AR29" s="12" t="n"/>
    </x:row>
    <x:row r="30" ht="24" customHeight="1">
      <x:c r="A30" s="13">
        <x:f>IF(MONTH(DATE($B$2,7,1)-WEEKDAY(DATE($B$2,7,1),2)+1+35)=7,DATE($B$2,7,1)-WEEKDAY(DATE($B$2,7,1),2)+1+35,"")</x:f>
      </x:c>
      <x:c r="B30" s="14" t="n"/>
      <x:c r="C30" s="15">
        <x:f>IF(MONTH(DATE($B$2,7,1)-WEEKDAY(DATE($B$2,7,1),2)+1+36)=7,DATE($B$2,7,1)-WEEKDAY(DATE($B$2,7,1),2)+1+36,"")</x:f>
      </x:c>
      <x:c r="D30" s="14" t="n"/>
      <x:c r="E30" s="15">
        <x:f>IF(MONTH(DATE($B$2,7,1)-WEEKDAY(DATE($B$2,7,1),2)+1+37)=7,DATE($B$2,7,1)-WEEKDAY(DATE($B$2,7,1),2)+1+37,"")</x:f>
      </x:c>
      <x:c r="F30" s="14" t="n"/>
      <x:c r="G30" s="15">
        <x:f>IF(MONTH(DATE($B$2,7,1)-WEEKDAY(DATE($B$2,7,1),2)+1+38)=7,DATE($B$2,7,1)-WEEKDAY(DATE($B$2,7,1),2)+1+38,"")</x:f>
      </x:c>
      <x:c r="H30" s="14" t="n"/>
      <x:c r="I30" s="15">
        <x:f>IF(MONTH(DATE($B$2,7,1)-WEEKDAY(DATE($B$2,7,1),2)+1+39)=7,DATE($B$2,7,1)-WEEKDAY(DATE($B$2,7,1),2)+1+39,"")</x:f>
      </x:c>
      <x:c r="J30" s="14" t="n"/>
      <x:c r="K30" s="15">
        <x:f>IF(MONTH(DATE($B$2,7,1)-WEEKDAY(DATE($B$2,7,1),2)+1+40)=7,DATE($B$2,7,1)-WEEKDAY(DATE($B$2,7,1),2)+1+40,"")</x:f>
      </x:c>
      <x:c r="L30" s="14" t="n"/>
      <x:c r="M30" s="15">
        <x:f>IF(MONTH(DATE($B$2,7,1)-WEEKDAY(DATE($B$2,7,1),2)+1+41)=7,DATE($B$2,7,1)-WEEKDAY(DATE($B$2,7,1),2)+1+41,"")</x:f>
      </x:c>
      <x:c r="N30" s="16" t="n"/>
      <x:c r="P30" s="13">
        <x:f>IF(MONTH(DATE($B$2,8,1)-WEEKDAY(DATE($B$2,8,1),2)+1+35)=8,DATE($B$2,8,1)-WEEKDAY(DATE($B$2,8,1),2)+1+35,"")</x:f>
        <x:v>46265</x:v>
      </x:c>
      <x:c r="Q30" s="14" t="n"/>
      <x:c r="R30" s="15">
        <x:f>IF(MONTH(DATE($B$2,8,1)-WEEKDAY(DATE($B$2,8,1),2)+1+36)=8,DATE($B$2,8,1)-WEEKDAY(DATE($B$2,8,1),2)+1+36,"")</x:f>
      </x:c>
      <x:c r="S30" s="14" t="n"/>
      <x:c r="T30" s="15">
        <x:f>IF(MONTH(DATE($B$2,8,1)-WEEKDAY(DATE($B$2,8,1),2)+1+37)=8,DATE($B$2,8,1)-WEEKDAY(DATE($B$2,8,1),2)+1+37,"")</x:f>
      </x:c>
      <x:c r="U30" s="14" t="n"/>
      <x:c r="V30" s="15">
        <x:f>IF(MONTH(DATE($B$2,8,1)-WEEKDAY(DATE($B$2,8,1),2)+1+38)=8,DATE($B$2,8,1)-WEEKDAY(DATE($B$2,8,1),2)+1+38,"")</x:f>
      </x:c>
      <x:c r="W30" s="14" t="n"/>
      <x:c r="X30" s="15">
        <x:f>IF(MONTH(DATE($B$2,8,1)-WEEKDAY(DATE($B$2,8,1),2)+1+39)=8,DATE($B$2,8,1)-WEEKDAY(DATE($B$2,8,1),2)+1+39,"")</x:f>
      </x:c>
      <x:c r="Y30" s="14" t="n"/>
      <x:c r="Z30" s="15">
        <x:f>IF(MONTH(DATE($B$2,8,1)-WEEKDAY(DATE($B$2,8,1),2)+1+40)=8,DATE($B$2,8,1)-WEEKDAY(DATE($B$2,8,1),2)+1+40,"")</x:f>
      </x:c>
      <x:c r="AA30" s="14" t="n"/>
      <x:c r="AB30" s="15">
        <x:f>IF(MONTH(DATE($B$2,8,1)-WEEKDAY(DATE($B$2,8,1),2)+1+41)=8,DATE($B$2,8,1)-WEEKDAY(DATE($B$2,8,1),2)+1+41,"")</x:f>
      </x:c>
      <x:c r="AC30" s="16" t="n"/>
      <x:c r="AE30" s="13">
        <x:f>IF(MONTH(DATE($B$2,9,1)-WEEKDAY(DATE($B$2,9,1),2)+1+35)=9,DATE($B$2,9,1)-WEEKDAY(DATE($B$2,9,1),2)+1+35,"")</x:f>
      </x:c>
      <x:c r="AF30" s="14" t="n"/>
      <x:c r="AG30" s="15">
        <x:f>IF(MONTH(DATE($B$2,9,1)-WEEKDAY(DATE($B$2,9,1),2)+1+36)=9,DATE($B$2,9,1)-WEEKDAY(DATE($B$2,9,1),2)+1+36,"")</x:f>
      </x:c>
      <x:c r="AH30" s="14" t="n"/>
      <x:c r="AI30" s="15">
        <x:f>IF(MONTH(DATE($B$2,9,1)-WEEKDAY(DATE($B$2,9,1),2)+1+37)=9,DATE($B$2,9,1)-WEEKDAY(DATE($B$2,9,1),2)+1+37,"")</x:f>
      </x:c>
      <x:c r="AJ30" s="14" t="n"/>
      <x:c r="AK30" s="15">
        <x:f>IF(MONTH(DATE($B$2,9,1)-WEEKDAY(DATE($B$2,9,1),2)+1+38)=9,DATE($B$2,9,1)-WEEKDAY(DATE($B$2,9,1),2)+1+38,"")</x:f>
      </x:c>
      <x:c r="AL30" s="14" t="n"/>
      <x:c r="AM30" s="15">
        <x:f>IF(MONTH(DATE($B$2,9,1)-WEEKDAY(DATE($B$2,9,1),2)+1+39)=9,DATE($B$2,9,1)-WEEKDAY(DATE($B$2,9,1),2)+1+39,"")</x:f>
      </x:c>
      <x:c r="AN30" s="14" t="n"/>
      <x:c r="AO30" s="15">
        <x:f>IF(MONTH(DATE($B$2,9,1)-WEEKDAY(DATE($B$2,9,1),2)+1+40)=9,DATE($B$2,9,1)-WEEKDAY(DATE($B$2,9,1),2)+1+40,"")</x:f>
      </x:c>
      <x:c r="AP30" s="14" t="n"/>
      <x:c r="AQ30" s="15">
        <x:f>IF(MONTH(DATE($B$2,9,1)-WEEKDAY(DATE($B$2,9,1),2)+1+41)=9,DATE($B$2,9,1)-WEEKDAY(DATE($B$2,9,1),2)+1+41,"")</x:f>
      </x:c>
      <x:c r="AR30" s="16" t="n"/>
    </x:row>
    <x:row r="31" ht="6" customHeight="1"/>
    <x:row r="32" ht="20" customHeight="1">
      <x:c r="A32" s="5" t="inlineStr">
        <x:is>
          <x:t xml:space="preserve">Oktober</x:t>
        </x:is>
      </x:c>
      <x:c r="N32" s="6" t="n"/>
      <x:c r="P32" s="5" t="inlineStr">
        <x:is>
          <x:t xml:space="preserve">November</x:t>
        </x:is>
      </x:c>
      <x:c r="AC32" s="6" t="n"/>
      <x:c r="AE32" s="5" t="inlineStr">
        <x:is>
          <x:t xml:space="preserve">Dezember</x:t>
        </x:is>
      </x:c>
      <x:c r="AR32" s="6" t="n"/>
    </x:row>
    <x:row r="33" ht="18" customHeight="1">
      <x:c r="A33" s="7" t="inlineStr">
        <x:is>
          <x:t xml:space="preserve">Mo</x:t>
        </x:is>
      </x:c>
      <x:c r="C33" s="8" t="inlineStr">
        <x:is>
          <x:t xml:space="preserve">Di</x:t>
        </x:is>
      </x:c>
      <x:c r="E33" s="8" t="inlineStr">
        <x:is>
          <x:t xml:space="preserve">Mi</x:t>
        </x:is>
      </x:c>
      <x:c r="G33" s="8" t="inlineStr">
        <x:is>
          <x:t xml:space="preserve">Do</x:t>
        </x:is>
      </x:c>
      <x:c r="I33" s="8" t="inlineStr">
        <x:is>
          <x:t xml:space="preserve">Fr</x:t>
        </x:is>
      </x:c>
      <x:c r="K33" s="8" t="inlineStr">
        <x:is>
          <x:t xml:space="preserve">Sa</x:t>
        </x:is>
      </x:c>
      <x:c r="M33" s="8" t="inlineStr">
        <x:is>
          <x:t xml:space="preserve">So</x:t>
        </x:is>
      </x:c>
      <x:c r="N33" s="6" t="n"/>
      <x:c r="P33" s="7" t="inlineStr">
        <x:is>
          <x:t xml:space="preserve">Mo</x:t>
        </x:is>
      </x:c>
      <x:c r="R33" s="8" t="inlineStr">
        <x:is>
          <x:t xml:space="preserve">Di</x:t>
        </x:is>
      </x:c>
      <x:c r="T33" s="8" t="inlineStr">
        <x:is>
          <x:t xml:space="preserve">Mi</x:t>
        </x:is>
      </x:c>
      <x:c r="V33" s="8" t="inlineStr">
        <x:is>
          <x:t xml:space="preserve">Do</x:t>
        </x:is>
      </x:c>
      <x:c r="X33" s="8" t="inlineStr">
        <x:is>
          <x:t xml:space="preserve">Fr</x:t>
        </x:is>
      </x:c>
      <x:c r="Z33" s="8" t="inlineStr">
        <x:is>
          <x:t xml:space="preserve">Sa</x:t>
        </x:is>
      </x:c>
      <x:c r="AB33" s="8" t="inlineStr">
        <x:is>
          <x:t xml:space="preserve">So</x:t>
        </x:is>
      </x:c>
      <x:c r="AC33" s="6" t="n"/>
      <x:c r="AE33" s="7" t="inlineStr">
        <x:is>
          <x:t xml:space="preserve">Mo</x:t>
        </x:is>
      </x:c>
      <x:c r="AG33" s="8" t="inlineStr">
        <x:is>
          <x:t xml:space="preserve">Di</x:t>
        </x:is>
      </x:c>
      <x:c r="AI33" s="8" t="inlineStr">
        <x:is>
          <x:t xml:space="preserve">Mi</x:t>
        </x:is>
      </x:c>
      <x:c r="AK33" s="8" t="inlineStr">
        <x:is>
          <x:t xml:space="preserve">Do</x:t>
        </x:is>
      </x:c>
      <x:c r="AM33" s="8" t="inlineStr">
        <x:is>
          <x:t xml:space="preserve">Fr</x:t>
        </x:is>
      </x:c>
      <x:c r="AO33" s="8" t="inlineStr">
        <x:is>
          <x:t xml:space="preserve">Sa</x:t>
        </x:is>
      </x:c>
      <x:c r="AQ33" s="8" t="inlineStr">
        <x:is>
          <x:t xml:space="preserve">So</x:t>
        </x:is>
      </x:c>
      <x:c r="AR33" s="6" t="n"/>
    </x:row>
    <x:row r="34" ht="24" customHeight="1">
      <x:c r="A34" s="9">
        <x:f>IF(MONTH(DATE($B$2,10,1)-WEEKDAY(DATE($B$2,10,1),2)+1+0)=10,DATE($B$2,10,1)-WEEKDAY(DATE($B$2,10,1),2)+1+0,"")</x:f>
      </x:c>
      <x:c r="B34" s="10" t="n"/>
      <x:c r="C34" s="11">
        <x:f>IF(MONTH(DATE($B$2,10,1)-WEEKDAY(DATE($B$2,10,1),2)+1+1)=10,DATE($B$2,10,1)-WEEKDAY(DATE($B$2,10,1),2)+1+1,"")</x:f>
      </x:c>
      <x:c r="D34" s="10" t="n"/>
      <x:c r="E34" s="11">
        <x:f>IF(MONTH(DATE($B$2,10,1)-WEEKDAY(DATE($B$2,10,1),2)+1+2)=10,DATE($B$2,10,1)-WEEKDAY(DATE($B$2,10,1),2)+1+2,"")</x:f>
      </x:c>
      <x:c r="F34" s="10" t="n"/>
      <x:c r="G34" s="11">
        <x:f>IF(MONTH(DATE($B$2,10,1)-WEEKDAY(DATE($B$2,10,1),2)+1+3)=10,DATE($B$2,10,1)-WEEKDAY(DATE($B$2,10,1),2)+1+3,"")</x:f>
        <x:v>46296</x:v>
      </x:c>
      <x:c r="H34" s="10" t="n"/>
      <x:c r="I34" s="11">
        <x:f>IF(MONTH(DATE($B$2,10,1)-WEEKDAY(DATE($B$2,10,1),2)+1+4)=10,DATE($B$2,10,1)-WEEKDAY(DATE($B$2,10,1),2)+1+4,"")</x:f>
        <x:v>46297</x:v>
      </x:c>
      <x:c r="J34" s="10" t="n"/>
      <x:c r="K34" s="11">
        <x:f>IF(MONTH(DATE($B$2,10,1)-WEEKDAY(DATE($B$2,10,1),2)+1+5)=10,DATE($B$2,10,1)-WEEKDAY(DATE($B$2,10,1),2)+1+5,"")</x:f>
        <x:v>46298</x:v>
      </x:c>
      <x:c r="L34" s="10" t="n"/>
      <x:c r="M34" s="11">
        <x:f>IF(MONTH(DATE($B$2,10,1)-WEEKDAY(DATE($B$2,10,1),2)+1+6)=10,DATE($B$2,10,1)-WEEKDAY(DATE($B$2,10,1),2)+1+6,"")</x:f>
        <x:v>46299</x:v>
      </x:c>
      <x:c r="N34" s="12" t="n"/>
      <x:c r="P34" s="9">
        <x:f>IF(MONTH(DATE($B$2,11,1)-WEEKDAY(DATE($B$2,11,1),2)+1+0)=11,DATE($B$2,11,1)-WEEKDAY(DATE($B$2,11,1),2)+1+0,"")</x:f>
      </x:c>
      <x:c r="Q34" s="10" t="n"/>
      <x:c r="R34" s="11">
        <x:f>IF(MONTH(DATE($B$2,11,1)-WEEKDAY(DATE($B$2,11,1),2)+1+1)=11,DATE($B$2,11,1)-WEEKDAY(DATE($B$2,11,1),2)+1+1,"")</x:f>
      </x:c>
      <x:c r="S34" s="10" t="n"/>
      <x:c r="T34" s="11">
        <x:f>IF(MONTH(DATE($B$2,11,1)-WEEKDAY(DATE($B$2,11,1),2)+1+2)=11,DATE($B$2,11,1)-WEEKDAY(DATE($B$2,11,1),2)+1+2,"")</x:f>
      </x:c>
      <x:c r="U34" s="10" t="n"/>
      <x:c r="V34" s="11">
        <x:f>IF(MONTH(DATE($B$2,11,1)-WEEKDAY(DATE($B$2,11,1),2)+1+3)=11,DATE($B$2,11,1)-WEEKDAY(DATE($B$2,11,1),2)+1+3,"")</x:f>
      </x:c>
      <x:c r="W34" s="10" t="n"/>
      <x:c r="X34" s="11">
        <x:f>IF(MONTH(DATE($B$2,11,1)-WEEKDAY(DATE($B$2,11,1),2)+1+4)=11,DATE($B$2,11,1)-WEEKDAY(DATE($B$2,11,1),2)+1+4,"")</x:f>
      </x:c>
      <x:c r="Y34" s="10" t="n"/>
      <x:c r="Z34" s="11">
        <x:f>IF(MONTH(DATE($B$2,11,1)-WEEKDAY(DATE($B$2,11,1),2)+1+5)=11,DATE($B$2,11,1)-WEEKDAY(DATE($B$2,11,1),2)+1+5,"")</x:f>
      </x:c>
      <x:c r="AA34" s="10" t="n"/>
      <x:c r="AB34" s="11">
        <x:f>IF(MONTH(DATE($B$2,11,1)-WEEKDAY(DATE($B$2,11,1),2)+1+6)=11,DATE($B$2,11,1)-WEEKDAY(DATE($B$2,11,1),2)+1+6,"")</x:f>
        <x:v>46327</x:v>
      </x:c>
      <x:c r="AC34" s="12" t="n"/>
      <x:c r="AE34" s="9">
        <x:f>IF(MONTH(DATE($B$2,12,1)-WEEKDAY(DATE($B$2,12,1),2)+1+0)=12,DATE($B$2,12,1)-WEEKDAY(DATE($B$2,12,1),2)+1+0,"")</x:f>
      </x:c>
      <x:c r="AF34" s="10" t="n"/>
      <x:c r="AG34" s="11">
        <x:f>IF(MONTH(DATE($B$2,12,1)-WEEKDAY(DATE($B$2,12,1),2)+1+1)=12,DATE($B$2,12,1)-WEEKDAY(DATE($B$2,12,1),2)+1+1,"")</x:f>
        <x:v>46357</x:v>
      </x:c>
      <x:c r="AH34" s="10" t="n"/>
      <x:c r="AI34" s="11">
        <x:f>IF(MONTH(DATE($B$2,12,1)-WEEKDAY(DATE($B$2,12,1),2)+1+2)=12,DATE($B$2,12,1)-WEEKDAY(DATE($B$2,12,1),2)+1+2,"")</x:f>
        <x:v>46358</x:v>
      </x:c>
      <x:c r="AJ34" s="10" t="n"/>
      <x:c r="AK34" s="11">
        <x:f>IF(MONTH(DATE($B$2,12,1)-WEEKDAY(DATE($B$2,12,1),2)+1+3)=12,DATE($B$2,12,1)-WEEKDAY(DATE($B$2,12,1),2)+1+3,"")</x:f>
        <x:v>46359</x:v>
      </x:c>
      <x:c r="AL34" s="10" t="n"/>
      <x:c r="AM34" s="11">
        <x:f>IF(MONTH(DATE($B$2,12,1)-WEEKDAY(DATE($B$2,12,1),2)+1+4)=12,DATE($B$2,12,1)-WEEKDAY(DATE($B$2,12,1),2)+1+4,"")</x:f>
        <x:v>46360</x:v>
      </x:c>
      <x:c r="AN34" s="10" t="n"/>
      <x:c r="AO34" s="11">
        <x:f>IF(MONTH(DATE($B$2,12,1)-WEEKDAY(DATE($B$2,12,1),2)+1+5)=12,DATE($B$2,12,1)-WEEKDAY(DATE($B$2,12,1),2)+1+5,"")</x:f>
        <x:v>46361</x:v>
      </x:c>
      <x:c r="AP34" s="10" t="n"/>
      <x:c r="AQ34" s="11">
        <x:f>IF(MONTH(DATE($B$2,12,1)-WEEKDAY(DATE($B$2,12,1),2)+1+6)=12,DATE($B$2,12,1)-WEEKDAY(DATE($B$2,12,1),2)+1+6,"")</x:f>
        <x:v>46362</x:v>
      </x:c>
      <x:c r="AR34" s="12" t="n"/>
    </x:row>
    <x:row r="35" ht="24" customHeight="1">
      <x:c r="A35" s="9">
        <x:f>IF(MONTH(DATE($B$2,10,1)-WEEKDAY(DATE($B$2,10,1),2)+1+7)=10,DATE($B$2,10,1)-WEEKDAY(DATE($B$2,10,1),2)+1+7,"")</x:f>
        <x:v>46300</x:v>
      </x:c>
      <x:c r="B35" s="10" t="inlineStr">
        <x:is>
          <x:t xml:space="preserve">Projektphase 2</x:t>
        </x:is>
      </x:c>
      <x:c r="C35" s="11">
        <x:f>IF(MONTH(DATE($B$2,10,1)-WEEKDAY(DATE($B$2,10,1),2)+1+8)=10,DATE($B$2,10,1)-WEEKDAY(DATE($B$2,10,1),2)+1+8,"")</x:f>
        <x:v>46301</x:v>
      </x:c>
      <x:c r="D35" s="10" t="n"/>
      <x:c r="E35" s="11">
        <x:f>IF(MONTH(DATE($B$2,10,1)-WEEKDAY(DATE($B$2,10,1),2)+1+9)=10,DATE($B$2,10,1)-WEEKDAY(DATE($B$2,10,1),2)+1+9,"")</x:f>
        <x:v>46302</x:v>
      </x:c>
      <x:c r="F35" s="10" t="n"/>
      <x:c r="G35" s="11">
        <x:f>IF(MONTH(DATE($B$2,10,1)-WEEKDAY(DATE($B$2,10,1),2)+1+10)=10,DATE($B$2,10,1)-WEEKDAY(DATE($B$2,10,1),2)+1+10,"")</x:f>
        <x:v>46303</x:v>
      </x:c>
      <x:c r="H35" s="10" t="n"/>
      <x:c r="I35" s="11">
        <x:f>IF(MONTH(DATE($B$2,10,1)-WEEKDAY(DATE($B$2,10,1),2)+1+11)=10,DATE($B$2,10,1)-WEEKDAY(DATE($B$2,10,1),2)+1+11,"")</x:f>
        <x:v>46304</x:v>
      </x:c>
      <x:c r="J35" s="10" t="n"/>
      <x:c r="K35" s="11">
        <x:f>IF(MONTH(DATE($B$2,10,1)-WEEKDAY(DATE($B$2,10,1),2)+1+12)=10,DATE($B$2,10,1)-WEEKDAY(DATE($B$2,10,1),2)+1+12,"")</x:f>
        <x:v>46305</x:v>
      </x:c>
      <x:c r="L35" s="10" t="n"/>
      <x:c r="M35" s="11">
        <x:f>IF(MONTH(DATE($B$2,10,1)-WEEKDAY(DATE($B$2,10,1),2)+1+13)=10,DATE($B$2,10,1)-WEEKDAY(DATE($B$2,10,1),2)+1+13,"")</x:f>
        <x:v>46306</x:v>
      </x:c>
      <x:c r="N35" s="12" t="n"/>
      <x:c r="P35" s="9">
        <x:f>IF(MONTH(DATE($B$2,11,1)-WEEKDAY(DATE($B$2,11,1),2)+1+7)=11,DATE($B$2,11,1)-WEEKDAY(DATE($B$2,11,1),2)+1+7,"")</x:f>
        <x:v>46328</x:v>
      </x:c>
      <x:c r="Q35" s="10" t="n"/>
      <x:c r="R35" s="11">
        <x:f>IF(MONTH(DATE($B$2,11,1)-WEEKDAY(DATE($B$2,11,1),2)+1+8)=11,DATE($B$2,11,1)-WEEKDAY(DATE($B$2,11,1),2)+1+8,"")</x:f>
        <x:v>46329</x:v>
      </x:c>
      <x:c r="S35" s="10" t="inlineStr">
        <x:is>
          <x:t xml:space="preserve">Planung 2027</x:t>
        </x:is>
      </x:c>
      <x:c r="T35" s="11">
        <x:f>IF(MONTH(DATE($B$2,11,1)-WEEKDAY(DATE($B$2,11,1),2)+1+9)=11,DATE($B$2,11,1)-WEEKDAY(DATE($B$2,11,1),2)+1+9,"")</x:f>
        <x:v>46330</x:v>
      </x:c>
      <x:c r="U35" s="10" t="n"/>
      <x:c r="V35" s="11">
        <x:f>IF(MONTH(DATE($B$2,11,1)-WEEKDAY(DATE($B$2,11,1),2)+1+10)=11,DATE($B$2,11,1)-WEEKDAY(DATE($B$2,11,1),2)+1+10,"")</x:f>
        <x:v>46331</x:v>
      </x:c>
      <x:c r="W35" s="10" t="n"/>
      <x:c r="X35" s="11">
        <x:f>IF(MONTH(DATE($B$2,11,1)-WEEKDAY(DATE($B$2,11,1),2)+1+11)=11,DATE($B$2,11,1)-WEEKDAY(DATE($B$2,11,1),2)+1+11,"")</x:f>
        <x:v>46332</x:v>
      </x:c>
      <x:c r="Y35" s="10" t="n"/>
      <x:c r="Z35" s="11">
        <x:f>IF(MONTH(DATE($B$2,11,1)-WEEKDAY(DATE($B$2,11,1),2)+1+12)=11,DATE($B$2,11,1)-WEEKDAY(DATE($B$2,11,1),2)+1+12,"")</x:f>
        <x:v>46333</x:v>
      </x:c>
      <x:c r="AA35" s="10" t="n"/>
      <x:c r="AB35" s="11">
        <x:f>IF(MONTH(DATE($B$2,11,1)-WEEKDAY(DATE($B$2,11,1),2)+1+13)=11,DATE($B$2,11,1)-WEEKDAY(DATE($B$2,11,1),2)+1+13,"")</x:f>
        <x:v>46334</x:v>
      </x:c>
      <x:c r="AC35" s="12" t="n"/>
      <x:c r="AE35" s="9">
        <x:f>IF(MONTH(DATE($B$2,12,1)-WEEKDAY(DATE($B$2,12,1),2)+1+7)=12,DATE($B$2,12,1)-WEEKDAY(DATE($B$2,12,1),2)+1+7,"")</x:f>
        <x:v>46363</x:v>
      </x:c>
      <x:c r="AF35" s="10" t="inlineStr">
        <x:is>
          <x:t xml:space="preserve">Geschenke planen</x:t>
        </x:is>
      </x:c>
      <x:c r="AG35" s="11">
        <x:f>IF(MONTH(DATE($B$2,12,1)-WEEKDAY(DATE($B$2,12,1),2)+1+8)=12,DATE($B$2,12,1)-WEEKDAY(DATE($B$2,12,1),2)+1+8,"")</x:f>
        <x:v>46364</x:v>
      </x:c>
      <x:c r="AH35" s="10" t="n"/>
      <x:c r="AI35" s="11">
        <x:f>IF(MONTH(DATE($B$2,12,1)-WEEKDAY(DATE($B$2,12,1),2)+1+9)=12,DATE($B$2,12,1)-WEEKDAY(DATE($B$2,12,1),2)+1+9,"")</x:f>
        <x:v>46365</x:v>
      </x:c>
      <x:c r="AJ35" s="10" t="n"/>
      <x:c r="AK35" s="11">
        <x:f>IF(MONTH(DATE($B$2,12,1)-WEEKDAY(DATE($B$2,12,1),2)+1+10)=12,DATE($B$2,12,1)-WEEKDAY(DATE($B$2,12,1),2)+1+10,"")</x:f>
        <x:v>46366</x:v>
      </x:c>
      <x:c r="AL35" s="10" t="n"/>
      <x:c r="AM35" s="11">
        <x:f>IF(MONTH(DATE($B$2,12,1)-WEEKDAY(DATE($B$2,12,1),2)+1+11)=12,DATE($B$2,12,1)-WEEKDAY(DATE($B$2,12,1),2)+1+11,"")</x:f>
        <x:v>46367</x:v>
      </x:c>
      <x:c r="AN35" s="10" t="n"/>
      <x:c r="AO35" s="11">
        <x:f>IF(MONTH(DATE($B$2,12,1)-WEEKDAY(DATE($B$2,12,1),2)+1+12)=12,DATE($B$2,12,1)-WEEKDAY(DATE($B$2,12,1),2)+1+12,"")</x:f>
        <x:v>46368</x:v>
      </x:c>
      <x:c r="AP35" s="10" t="n"/>
      <x:c r="AQ35" s="11">
        <x:f>IF(MONTH(DATE($B$2,12,1)-WEEKDAY(DATE($B$2,12,1),2)+1+13)=12,DATE($B$2,12,1)-WEEKDAY(DATE($B$2,12,1),2)+1+13,"")</x:f>
        <x:v>46369</x:v>
      </x:c>
      <x:c r="AR35" s="12" t="n"/>
    </x:row>
    <x:row r="36" ht="24" customHeight="1">
      <x:c r="A36" s="9">
        <x:f>IF(MONTH(DATE($B$2,10,1)-WEEKDAY(DATE($B$2,10,1),2)+1+14)=10,DATE($B$2,10,1)-WEEKDAY(DATE($B$2,10,1),2)+1+14,"")</x:f>
        <x:v>46307</x:v>
      </x:c>
      <x:c r="B36" s="10" t="n"/>
      <x:c r="C36" s="11">
        <x:f>IF(MONTH(DATE($B$2,10,1)-WEEKDAY(DATE($B$2,10,1),2)+1+15)=10,DATE($B$2,10,1)-WEEKDAY(DATE($B$2,10,1),2)+1+15,"")</x:f>
        <x:v>46308</x:v>
      </x:c>
      <x:c r="D36" s="10" t="n"/>
      <x:c r="E36" s="11">
        <x:f>IF(MONTH(DATE($B$2,10,1)-WEEKDAY(DATE($B$2,10,1),2)+1+16)=10,DATE($B$2,10,1)-WEEKDAY(DATE($B$2,10,1),2)+1+16,"")</x:f>
        <x:v>46309</x:v>
      </x:c>
      <x:c r="F36" s="10" t="inlineStr">
        <x:is>
          <x:t xml:space="preserve">Kundenbesuch</x:t>
        </x:is>
      </x:c>
      <x:c r="G36" s="11">
        <x:f>IF(MONTH(DATE($B$2,10,1)-WEEKDAY(DATE($B$2,10,1),2)+1+17)=10,DATE($B$2,10,1)-WEEKDAY(DATE($B$2,10,1),2)+1+17,"")</x:f>
        <x:v>46310</x:v>
      </x:c>
      <x:c r="H36" s="10" t="n"/>
      <x:c r="I36" s="11">
        <x:f>IF(MONTH(DATE($B$2,10,1)-WEEKDAY(DATE($B$2,10,1),2)+1+18)=10,DATE($B$2,10,1)-WEEKDAY(DATE($B$2,10,1),2)+1+18,"")</x:f>
        <x:v>46311</x:v>
      </x:c>
      <x:c r="J36" s="10" t="n"/>
      <x:c r="K36" s="11">
        <x:f>IF(MONTH(DATE($B$2,10,1)-WEEKDAY(DATE($B$2,10,1),2)+1+19)=10,DATE($B$2,10,1)-WEEKDAY(DATE($B$2,10,1),2)+1+19,"")</x:f>
        <x:v>46312</x:v>
      </x:c>
      <x:c r="L36" s="10" t="n"/>
      <x:c r="M36" s="11">
        <x:f>IF(MONTH(DATE($B$2,10,1)-WEEKDAY(DATE($B$2,10,1),2)+1+20)=10,DATE($B$2,10,1)-WEEKDAY(DATE($B$2,10,1),2)+1+20,"")</x:f>
        <x:v>46313</x:v>
      </x:c>
      <x:c r="N36" s="12" t="n"/>
      <x:c r="P36" s="9">
        <x:f>IF(MONTH(DATE($B$2,11,1)-WEEKDAY(DATE($B$2,11,1),2)+1+14)=11,DATE($B$2,11,1)-WEEKDAY(DATE($B$2,11,1),2)+1+14,"")</x:f>
        <x:v>46335</x:v>
      </x:c>
      <x:c r="Q36" s="10" t="n"/>
      <x:c r="R36" s="11">
        <x:f>IF(MONTH(DATE($B$2,11,1)-WEEKDAY(DATE($B$2,11,1),2)+1+15)=11,DATE($B$2,11,1)-WEEKDAY(DATE($B$2,11,1),2)+1+15,"")</x:f>
        <x:v>46336</x:v>
      </x:c>
      <x:c r="S36" s="10" t="n"/>
      <x:c r="T36" s="11">
        <x:f>IF(MONTH(DATE($B$2,11,1)-WEEKDAY(DATE($B$2,11,1),2)+1+16)=11,DATE($B$2,11,1)-WEEKDAY(DATE($B$2,11,1),2)+1+16,"")</x:f>
        <x:v>46337</x:v>
      </x:c>
      <x:c r="U36" s="10" t="n"/>
      <x:c r="V36" s="11">
        <x:f>IF(MONTH(DATE($B$2,11,1)-WEEKDAY(DATE($B$2,11,1),2)+1+17)=11,DATE($B$2,11,1)-WEEKDAY(DATE($B$2,11,1),2)+1+17,"")</x:f>
        <x:v>46338</x:v>
      </x:c>
      <x:c r="W36" s="10" t="n"/>
      <x:c r="X36" s="11">
        <x:f>IF(MONTH(DATE($B$2,11,1)-WEEKDAY(DATE($B$2,11,1),2)+1+18)=11,DATE($B$2,11,1)-WEEKDAY(DATE($B$2,11,1),2)+1+18,"")</x:f>
        <x:v>46339</x:v>
      </x:c>
      <x:c r="Y36" s="10" t="n"/>
      <x:c r="Z36" s="11">
        <x:f>IF(MONTH(DATE($B$2,11,1)-WEEKDAY(DATE($B$2,11,1),2)+1+19)=11,DATE($B$2,11,1)-WEEKDAY(DATE($B$2,11,1),2)+1+19,"")</x:f>
        <x:v>46340</x:v>
      </x:c>
      <x:c r="AA36" s="10" t="n"/>
      <x:c r="AB36" s="11">
        <x:f>IF(MONTH(DATE($B$2,11,1)-WEEKDAY(DATE($B$2,11,1),2)+1+20)=11,DATE($B$2,11,1)-WEEKDAY(DATE($B$2,11,1),2)+1+20,"")</x:f>
        <x:v>46341</x:v>
      </x:c>
      <x:c r="AC36" s="12" t="n"/>
      <x:c r="AE36" s="9">
        <x:f>IF(MONTH(DATE($B$2,12,1)-WEEKDAY(DATE($B$2,12,1),2)+1+14)=12,DATE($B$2,12,1)-WEEKDAY(DATE($B$2,12,1),2)+1+14,"")</x:f>
        <x:v>46370</x:v>
      </x:c>
      <x:c r="AF36" s="10" t="inlineStr">
        <x:is>
          <x:t xml:space="preserve">Geschenke kaufen</x:t>
        </x:is>
      </x:c>
      <x:c r="AG36" s="11">
        <x:f>IF(MONTH(DATE($B$2,12,1)-WEEKDAY(DATE($B$2,12,1),2)+1+15)=12,DATE($B$2,12,1)-WEEKDAY(DATE($B$2,12,1),2)+1+15,"")</x:f>
        <x:v>46371</x:v>
      </x:c>
      <x:c r="AH36" s="10" t="n"/>
      <x:c r="AI36" s="11">
        <x:f>IF(MONTH(DATE($B$2,12,1)-WEEKDAY(DATE($B$2,12,1),2)+1+16)=12,DATE($B$2,12,1)-WEEKDAY(DATE($B$2,12,1),2)+1+16,"")</x:f>
        <x:v>46372</x:v>
      </x:c>
      <x:c r="AJ36" s="10" t="n"/>
      <x:c r="AK36" s="11">
        <x:f>IF(MONTH(DATE($B$2,12,1)-WEEKDAY(DATE($B$2,12,1),2)+1+17)=12,DATE($B$2,12,1)-WEEKDAY(DATE($B$2,12,1),2)+1+17,"")</x:f>
        <x:v>46373</x:v>
      </x:c>
      <x:c r="AL36" s="10" t="n"/>
      <x:c r="AM36" s="11">
        <x:f>IF(MONTH(DATE($B$2,12,1)-WEEKDAY(DATE($B$2,12,1),2)+1+18)=12,DATE($B$2,12,1)-WEEKDAY(DATE($B$2,12,1),2)+1+18,"")</x:f>
        <x:v>46374</x:v>
      </x:c>
      <x:c r="AN36" s="10" t="n"/>
      <x:c r="AO36" s="11">
        <x:f>IF(MONTH(DATE($B$2,12,1)-WEEKDAY(DATE($B$2,12,1),2)+1+19)=12,DATE($B$2,12,1)-WEEKDAY(DATE($B$2,12,1),2)+1+19,"")</x:f>
        <x:v>46375</x:v>
      </x:c>
      <x:c r="AP36" s="10" t="n"/>
      <x:c r="AQ36" s="11">
        <x:f>IF(MONTH(DATE($B$2,12,1)-WEEKDAY(DATE($B$2,12,1),2)+1+20)=12,DATE($B$2,12,1)-WEEKDAY(DATE($B$2,12,1),2)+1+20,"")</x:f>
        <x:v>46376</x:v>
      </x:c>
      <x:c r="AR36" s="12" t="n"/>
    </x:row>
    <x:row r="37" ht="24" customHeight="1">
      <x:c r="A37" s="9">
        <x:f>IF(MONTH(DATE($B$2,10,1)-WEEKDAY(DATE($B$2,10,1),2)+1+21)=10,DATE($B$2,10,1)-WEEKDAY(DATE($B$2,10,1),2)+1+21,"")</x:f>
        <x:v>46314</x:v>
      </x:c>
      <x:c r="B37" s="10" t="n"/>
      <x:c r="C37" s="11">
        <x:f>IF(MONTH(DATE($B$2,10,1)-WEEKDAY(DATE($B$2,10,1),2)+1+22)=10,DATE($B$2,10,1)-WEEKDAY(DATE($B$2,10,1),2)+1+22,"")</x:f>
        <x:v>46315</x:v>
      </x:c>
      <x:c r="D37" s="10" t="n"/>
      <x:c r="E37" s="11">
        <x:f>IF(MONTH(DATE($B$2,10,1)-WEEKDAY(DATE($B$2,10,1),2)+1+23)=10,DATE($B$2,10,1)-WEEKDAY(DATE($B$2,10,1),2)+1+23,"")</x:f>
        <x:v>46316</x:v>
      </x:c>
      <x:c r="F37" s="10" t="n"/>
      <x:c r="G37" s="11">
        <x:f>IF(MONTH(DATE($B$2,10,1)-WEEKDAY(DATE($B$2,10,1),2)+1+24)=10,DATE($B$2,10,1)-WEEKDAY(DATE($B$2,10,1),2)+1+24,"")</x:f>
        <x:v>46317</x:v>
      </x:c>
      <x:c r="H37" s="10" t="n"/>
      <x:c r="I37" s="11">
        <x:f>IF(MONTH(DATE($B$2,10,1)-WEEKDAY(DATE($B$2,10,1),2)+1+25)=10,DATE($B$2,10,1)-WEEKDAY(DATE($B$2,10,1),2)+1+25,"")</x:f>
        <x:v>46318</x:v>
      </x:c>
      <x:c r="J37" s="10" t="n"/>
      <x:c r="K37" s="11">
        <x:f>IF(MONTH(DATE($B$2,10,1)-WEEKDAY(DATE($B$2,10,1),2)+1+26)=10,DATE($B$2,10,1)-WEEKDAY(DATE($B$2,10,1),2)+1+26,"")</x:f>
        <x:v>46319</x:v>
      </x:c>
      <x:c r="L37" s="10" t="n"/>
      <x:c r="M37" s="11">
        <x:f>IF(MONTH(DATE($B$2,10,1)-WEEKDAY(DATE($B$2,10,1),2)+1+27)=10,DATE($B$2,10,1)-WEEKDAY(DATE($B$2,10,1),2)+1+27,"")</x:f>
        <x:v>46320</x:v>
      </x:c>
      <x:c r="N37" s="12" t="n"/>
      <x:c r="P37" s="9">
        <x:f>IF(MONTH(DATE($B$2,11,1)-WEEKDAY(DATE($B$2,11,1),2)+1+21)=11,DATE($B$2,11,1)-WEEKDAY(DATE($B$2,11,1),2)+1+21,"")</x:f>
        <x:v>46342</x:v>
      </x:c>
      <x:c r="Q37" s="10" t="n"/>
      <x:c r="R37" s="11">
        <x:f>IF(MONTH(DATE($B$2,11,1)-WEEKDAY(DATE($B$2,11,1),2)+1+22)=11,DATE($B$2,11,1)-WEEKDAY(DATE($B$2,11,1),2)+1+22,"")</x:f>
        <x:v>46343</x:v>
      </x:c>
      <x:c r="S37" s="10" t="n"/>
      <x:c r="T37" s="11">
        <x:f>IF(MONTH(DATE($B$2,11,1)-WEEKDAY(DATE($B$2,11,1),2)+1+23)=11,DATE($B$2,11,1)-WEEKDAY(DATE($B$2,11,1),2)+1+23,"")</x:f>
        <x:v>46344</x:v>
      </x:c>
      <x:c r="U37" s="10" t="inlineStr">
        <x:is>
          <x:t xml:space="preserve">Review</x:t>
        </x:is>
      </x:c>
      <x:c r="V37" s="11">
        <x:f>IF(MONTH(DATE($B$2,11,1)-WEEKDAY(DATE($B$2,11,1),2)+1+24)=11,DATE($B$2,11,1)-WEEKDAY(DATE($B$2,11,1),2)+1+24,"")</x:f>
        <x:v>46345</x:v>
      </x:c>
      <x:c r="W37" s="10" t="n"/>
      <x:c r="X37" s="11">
        <x:f>IF(MONTH(DATE($B$2,11,1)-WEEKDAY(DATE($B$2,11,1),2)+1+25)=11,DATE($B$2,11,1)-WEEKDAY(DATE($B$2,11,1),2)+1+25,"")</x:f>
        <x:v>46346</x:v>
      </x:c>
      <x:c r="Y37" s="10" t="n"/>
      <x:c r="Z37" s="11">
        <x:f>IF(MONTH(DATE($B$2,11,1)-WEEKDAY(DATE($B$2,11,1),2)+1+26)=11,DATE($B$2,11,1)-WEEKDAY(DATE($B$2,11,1),2)+1+26,"")</x:f>
        <x:v>46347</x:v>
      </x:c>
      <x:c r="AA37" s="10" t="n"/>
      <x:c r="AB37" s="11">
        <x:f>IF(MONTH(DATE($B$2,11,1)-WEEKDAY(DATE($B$2,11,1),2)+1+27)=11,DATE($B$2,11,1)-WEEKDAY(DATE($B$2,11,1),2)+1+27,"")</x:f>
        <x:v>46348</x:v>
      </x:c>
      <x:c r="AC37" s="12" t="n"/>
      <x:c r="AE37" s="9">
        <x:f>IF(MONTH(DATE($B$2,12,1)-WEEKDAY(DATE($B$2,12,1),2)+1+21)=12,DATE($B$2,12,1)-WEEKDAY(DATE($B$2,12,1),2)+1+21,"")</x:f>
        <x:v>46377</x:v>
      </x:c>
      <x:c r="AF37" s="10" t="inlineStr">
        <x:is>
          <x:t xml:space="preserve">Urlaub beginnt</x:t>
        </x:is>
      </x:c>
      <x:c r="AG37" s="11">
        <x:f>IF(MONTH(DATE($B$2,12,1)-WEEKDAY(DATE($B$2,12,1),2)+1+22)=12,DATE($B$2,12,1)-WEEKDAY(DATE($B$2,12,1),2)+1+22,"")</x:f>
        <x:v>46378</x:v>
      </x:c>
      <x:c r="AH37" s="10" t="n"/>
      <x:c r="AI37" s="11">
        <x:f>IF(MONTH(DATE($B$2,12,1)-WEEKDAY(DATE($B$2,12,1),2)+1+23)=12,DATE($B$2,12,1)-WEEKDAY(DATE($B$2,12,1),2)+1+23,"")</x:f>
        <x:v>46379</x:v>
      </x:c>
      <x:c r="AJ37" s="10" t="n"/>
      <x:c r="AK37" s="11">
        <x:f>IF(MONTH(DATE($B$2,12,1)-WEEKDAY(DATE($B$2,12,1),2)+1+24)=12,DATE($B$2,12,1)-WEEKDAY(DATE($B$2,12,1),2)+1+24,"")</x:f>
        <x:v>46380</x:v>
      </x:c>
      <x:c r="AL37" s="10" t="n"/>
      <x:c r="AM37" s="11">
        <x:f>IF(MONTH(DATE($B$2,12,1)-WEEKDAY(DATE($B$2,12,1),2)+1+25)=12,DATE($B$2,12,1)-WEEKDAY(DATE($B$2,12,1),2)+1+25,"")</x:f>
        <x:v>46381</x:v>
      </x:c>
      <x:c r="AN37" s="10" t="n"/>
      <x:c r="AO37" s="11">
        <x:f>IF(MONTH(DATE($B$2,12,1)-WEEKDAY(DATE($B$2,12,1),2)+1+26)=12,DATE($B$2,12,1)-WEEKDAY(DATE($B$2,12,1),2)+1+26,"")</x:f>
        <x:v>46382</x:v>
      </x:c>
      <x:c r="AP37" s="10" t="n"/>
      <x:c r="AQ37" s="11">
        <x:f>IF(MONTH(DATE($B$2,12,1)-WEEKDAY(DATE($B$2,12,1),2)+1+27)=12,DATE($B$2,12,1)-WEEKDAY(DATE($B$2,12,1),2)+1+27,"")</x:f>
        <x:v>46383</x:v>
      </x:c>
      <x:c r="AR37" s="12" t="n"/>
    </x:row>
    <x:row r="38" ht="24" customHeight="1">
      <x:c r="A38" s="9">
        <x:f>IF(MONTH(DATE($B$2,10,1)-WEEKDAY(DATE($B$2,10,1),2)+1+28)=10,DATE($B$2,10,1)-WEEKDAY(DATE($B$2,10,1),2)+1+28,"")</x:f>
        <x:v>46321</x:v>
      </x:c>
      <x:c r="B38" s="10" t="inlineStr">
        <x:is>
          <x:t xml:space="preserve">Reporting</x:t>
        </x:is>
      </x:c>
      <x:c r="C38" s="11">
        <x:f>IF(MONTH(DATE($B$2,10,1)-WEEKDAY(DATE($B$2,10,1),2)+1+29)=10,DATE($B$2,10,1)-WEEKDAY(DATE($B$2,10,1),2)+1+29,"")</x:f>
        <x:v>46322</x:v>
      </x:c>
      <x:c r="D38" s="10" t="n"/>
      <x:c r="E38" s="11">
        <x:f>IF(MONTH(DATE($B$2,10,1)-WEEKDAY(DATE($B$2,10,1),2)+1+30)=10,DATE($B$2,10,1)-WEEKDAY(DATE($B$2,10,1),2)+1+30,"")</x:f>
        <x:v>46323</x:v>
      </x:c>
      <x:c r="F38" s="10" t="n"/>
      <x:c r="G38" s="11">
        <x:f>IF(MONTH(DATE($B$2,10,1)-WEEKDAY(DATE($B$2,10,1),2)+1+31)=10,DATE($B$2,10,1)-WEEKDAY(DATE($B$2,10,1),2)+1+31,"")</x:f>
        <x:v>46324</x:v>
      </x:c>
      <x:c r="H38" s="10" t="n"/>
      <x:c r="I38" s="11">
        <x:f>IF(MONTH(DATE($B$2,10,1)-WEEKDAY(DATE($B$2,10,1),2)+1+32)=10,DATE($B$2,10,1)-WEEKDAY(DATE($B$2,10,1),2)+1+32,"")</x:f>
        <x:v>46325</x:v>
      </x:c>
      <x:c r="J38" s="10" t="n"/>
      <x:c r="K38" s="11">
        <x:f>IF(MONTH(DATE($B$2,10,1)-WEEKDAY(DATE($B$2,10,1),2)+1+33)=10,DATE($B$2,10,1)-WEEKDAY(DATE($B$2,10,1),2)+1+33,"")</x:f>
        <x:v>46326</x:v>
      </x:c>
      <x:c r="L38" s="10" t="n"/>
      <x:c r="M38" s="11">
        <x:f>IF(MONTH(DATE($B$2,10,1)-WEEKDAY(DATE($B$2,10,1),2)+1+34)=10,DATE($B$2,10,1)-WEEKDAY(DATE($B$2,10,1),2)+1+34,"")</x:f>
      </x:c>
      <x:c r="N38" s="12" t="n"/>
      <x:c r="P38" s="9">
        <x:f>IF(MONTH(DATE($B$2,11,1)-WEEKDAY(DATE($B$2,11,1),2)+1+28)=11,DATE($B$2,11,1)-WEEKDAY(DATE($B$2,11,1),2)+1+28,"")</x:f>
        <x:v>46349</x:v>
      </x:c>
      <x:c r="Q38" s="10" t="n"/>
      <x:c r="R38" s="11">
        <x:f>IF(MONTH(DATE($B$2,11,1)-WEEKDAY(DATE($B$2,11,1),2)+1+29)=11,DATE($B$2,11,1)-WEEKDAY(DATE($B$2,11,1),2)+1+29,"")</x:f>
        <x:v>46350</x:v>
      </x:c>
      <x:c r="S38" s="10" t="n"/>
      <x:c r="T38" s="11">
        <x:f>IF(MONTH(DATE($B$2,11,1)-WEEKDAY(DATE($B$2,11,1),2)+1+30)=11,DATE($B$2,11,1)-WEEKDAY(DATE($B$2,11,1),2)+1+30,"")</x:f>
        <x:v>46351</x:v>
      </x:c>
      <x:c r="U38" s="10" t="n"/>
      <x:c r="V38" s="11">
        <x:f>IF(MONTH(DATE($B$2,11,1)-WEEKDAY(DATE($B$2,11,1),2)+1+31)=11,DATE($B$2,11,1)-WEEKDAY(DATE($B$2,11,1),2)+1+31,"")</x:f>
        <x:v>46352</x:v>
      </x:c>
      <x:c r="W38" s="10" t="n"/>
      <x:c r="X38" s="11">
        <x:f>IF(MONTH(DATE($B$2,11,1)-WEEKDAY(DATE($B$2,11,1),2)+1+32)=11,DATE($B$2,11,1)-WEEKDAY(DATE($B$2,11,1),2)+1+32,"")</x:f>
        <x:v>46353</x:v>
      </x:c>
      <x:c r="Y38" s="10" t="n"/>
      <x:c r="Z38" s="11">
        <x:f>IF(MONTH(DATE($B$2,11,1)-WEEKDAY(DATE($B$2,11,1),2)+1+33)=11,DATE($B$2,11,1)-WEEKDAY(DATE($B$2,11,1),2)+1+33,"")</x:f>
        <x:v>46354</x:v>
      </x:c>
      <x:c r="AA38" s="10" t="n"/>
      <x:c r="AB38" s="11">
        <x:f>IF(MONTH(DATE($B$2,11,1)-WEEKDAY(DATE($B$2,11,1),2)+1+34)=11,DATE($B$2,11,1)-WEEKDAY(DATE($B$2,11,1),2)+1+34,"")</x:f>
        <x:v>46355</x:v>
      </x:c>
      <x:c r="AC38" s="12" t="n"/>
      <x:c r="AE38" s="9">
        <x:f>IF(MONTH(DATE($B$2,12,1)-WEEKDAY(DATE($B$2,12,1),2)+1+28)=12,DATE($B$2,12,1)-WEEKDAY(DATE($B$2,12,1),2)+1+28,"")</x:f>
        <x:v>46384</x:v>
      </x:c>
      <x:c r="AF38" s="10" t="n"/>
      <x:c r="AG38" s="11">
        <x:f>IF(MONTH(DATE($B$2,12,1)-WEEKDAY(DATE($B$2,12,1),2)+1+29)=12,DATE($B$2,12,1)-WEEKDAY(DATE($B$2,12,1),2)+1+29,"")</x:f>
        <x:v>46385</x:v>
      </x:c>
      <x:c r="AH38" s="10" t="n"/>
      <x:c r="AI38" s="11">
        <x:f>IF(MONTH(DATE($B$2,12,1)-WEEKDAY(DATE($B$2,12,1),2)+1+30)=12,DATE($B$2,12,1)-WEEKDAY(DATE($B$2,12,1),2)+1+30,"")</x:f>
        <x:v>46386</x:v>
      </x:c>
      <x:c r="AJ38" s="10" t="n"/>
      <x:c r="AK38" s="11">
        <x:f>IF(MONTH(DATE($B$2,12,1)-WEEKDAY(DATE($B$2,12,1),2)+1+31)=12,DATE($B$2,12,1)-WEEKDAY(DATE($B$2,12,1),2)+1+31,"")</x:f>
        <x:v>46387</x:v>
      </x:c>
      <x:c r="AL38" s="10" t="n"/>
      <x:c r="AM38" s="11">
        <x:f>IF(MONTH(DATE($B$2,12,1)-WEEKDAY(DATE($B$2,12,1),2)+1+32)=12,DATE($B$2,12,1)-WEEKDAY(DATE($B$2,12,1),2)+1+32,"")</x:f>
      </x:c>
      <x:c r="AN38" s="10" t="n"/>
      <x:c r="AO38" s="11">
        <x:f>IF(MONTH(DATE($B$2,12,1)-WEEKDAY(DATE($B$2,12,1),2)+1+33)=12,DATE($B$2,12,1)-WEEKDAY(DATE($B$2,12,1),2)+1+33,"")</x:f>
      </x:c>
      <x:c r="AP38" s="10" t="n"/>
      <x:c r="AQ38" s="11">
        <x:f>IF(MONTH(DATE($B$2,12,1)-WEEKDAY(DATE($B$2,12,1),2)+1+34)=12,DATE($B$2,12,1)-WEEKDAY(DATE($B$2,12,1),2)+1+34,"")</x:f>
      </x:c>
      <x:c r="AR38" s="12" t="n"/>
    </x:row>
    <x:row r="39" ht="24" customHeight="1">
      <x:c r="A39" s="13">
        <x:f>IF(MONTH(DATE($B$2,10,1)-WEEKDAY(DATE($B$2,10,1),2)+1+35)=10,DATE($B$2,10,1)-WEEKDAY(DATE($B$2,10,1),2)+1+35,"")</x:f>
      </x:c>
      <x:c r="B39" s="14" t="n"/>
      <x:c r="C39" s="15">
        <x:f>IF(MONTH(DATE($B$2,10,1)-WEEKDAY(DATE($B$2,10,1),2)+1+36)=10,DATE($B$2,10,1)-WEEKDAY(DATE($B$2,10,1),2)+1+36,"")</x:f>
      </x:c>
      <x:c r="D39" s="14" t="n"/>
      <x:c r="E39" s="15">
        <x:f>IF(MONTH(DATE($B$2,10,1)-WEEKDAY(DATE($B$2,10,1),2)+1+37)=10,DATE($B$2,10,1)-WEEKDAY(DATE($B$2,10,1),2)+1+37,"")</x:f>
      </x:c>
      <x:c r="F39" s="14" t="n"/>
      <x:c r="G39" s="15">
        <x:f>IF(MONTH(DATE($B$2,10,1)-WEEKDAY(DATE($B$2,10,1),2)+1+38)=10,DATE($B$2,10,1)-WEEKDAY(DATE($B$2,10,1),2)+1+38,"")</x:f>
      </x:c>
      <x:c r="H39" s="14" t="n"/>
      <x:c r="I39" s="15">
        <x:f>IF(MONTH(DATE($B$2,10,1)-WEEKDAY(DATE($B$2,10,1),2)+1+39)=10,DATE($B$2,10,1)-WEEKDAY(DATE($B$2,10,1),2)+1+39,"")</x:f>
      </x:c>
      <x:c r="J39" s="14" t="n"/>
      <x:c r="K39" s="15">
        <x:f>IF(MONTH(DATE($B$2,10,1)-WEEKDAY(DATE($B$2,10,1),2)+1+40)=10,DATE($B$2,10,1)-WEEKDAY(DATE($B$2,10,1),2)+1+40,"")</x:f>
      </x:c>
      <x:c r="L39" s="14" t="n"/>
      <x:c r="M39" s="15">
        <x:f>IF(MONTH(DATE($B$2,10,1)-WEEKDAY(DATE($B$2,10,1),2)+1+41)=10,DATE($B$2,10,1)-WEEKDAY(DATE($B$2,10,1),2)+1+41,"")</x:f>
      </x:c>
      <x:c r="N39" s="16" t="n"/>
      <x:c r="P39" s="13">
        <x:f>IF(MONTH(DATE($B$2,11,1)-WEEKDAY(DATE($B$2,11,1),2)+1+35)=11,DATE($B$2,11,1)-WEEKDAY(DATE($B$2,11,1),2)+1+35,"")</x:f>
        <x:v>46356</x:v>
      </x:c>
      <x:c r="Q39" s="14" t="inlineStr">
        <x:is>
          <x:t xml:space="preserve">Monatsende</x:t>
        </x:is>
      </x:c>
      <x:c r="R39" s="15">
        <x:f>IF(MONTH(DATE($B$2,11,1)-WEEKDAY(DATE($B$2,11,1),2)+1+36)=11,DATE($B$2,11,1)-WEEKDAY(DATE($B$2,11,1),2)+1+36,"")</x:f>
      </x:c>
      <x:c r="S39" s="14" t="n"/>
      <x:c r="T39" s="15">
        <x:f>IF(MONTH(DATE($B$2,11,1)-WEEKDAY(DATE($B$2,11,1),2)+1+37)=11,DATE($B$2,11,1)-WEEKDAY(DATE($B$2,11,1),2)+1+37,"")</x:f>
      </x:c>
      <x:c r="U39" s="14" t="n"/>
      <x:c r="V39" s="15">
        <x:f>IF(MONTH(DATE($B$2,11,1)-WEEKDAY(DATE($B$2,11,1),2)+1+38)=11,DATE($B$2,11,1)-WEEKDAY(DATE($B$2,11,1),2)+1+38,"")</x:f>
      </x:c>
      <x:c r="W39" s="14" t="n"/>
      <x:c r="X39" s="15">
        <x:f>IF(MONTH(DATE($B$2,11,1)-WEEKDAY(DATE($B$2,11,1),2)+1+39)=11,DATE($B$2,11,1)-WEEKDAY(DATE($B$2,11,1),2)+1+39,"")</x:f>
      </x:c>
      <x:c r="Y39" s="14" t="n"/>
      <x:c r="Z39" s="15">
        <x:f>IF(MONTH(DATE($B$2,11,1)-WEEKDAY(DATE($B$2,11,1),2)+1+40)=11,DATE($B$2,11,1)-WEEKDAY(DATE($B$2,11,1),2)+1+40,"")</x:f>
      </x:c>
      <x:c r="AA39" s="14" t="n"/>
      <x:c r="AB39" s="15">
        <x:f>IF(MONTH(DATE($B$2,11,1)-WEEKDAY(DATE($B$2,11,1),2)+1+41)=11,DATE($B$2,11,1)-WEEKDAY(DATE($B$2,11,1),2)+1+41,"")</x:f>
      </x:c>
      <x:c r="AC39" s="16" t="n"/>
      <x:c r="AE39" s="13">
        <x:f>IF(MONTH(DATE($B$2,12,1)-WEEKDAY(DATE($B$2,12,1),2)+1+35)=12,DATE($B$2,12,1)-WEEKDAY(DATE($B$2,12,1),2)+1+35,"")</x:f>
      </x:c>
      <x:c r="AF39" s="14" t="n"/>
      <x:c r="AG39" s="15">
        <x:f>IF(MONTH(DATE($B$2,12,1)-WEEKDAY(DATE($B$2,12,1),2)+1+36)=12,DATE($B$2,12,1)-WEEKDAY(DATE($B$2,12,1),2)+1+36,"")</x:f>
      </x:c>
      <x:c r="AH39" s="14" t="n"/>
      <x:c r="AI39" s="15">
        <x:f>IF(MONTH(DATE($B$2,12,1)-WEEKDAY(DATE($B$2,12,1),2)+1+37)=12,DATE($B$2,12,1)-WEEKDAY(DATE($B$2,12,1),2)+1+37,"")</x:f>
      </x:c>
      <x:c r="AJ39" s="14" t="n"/>
      <x:c r="AK39" s="15">
        <x:f>IF(MONTH(DATE($B$2,12,1)-WEEKDAY(DATE($B$2,12,1),2)+1+38)=12,DATE($B$2,12,1)-WEEKDAY(DATE($B$2,12,1),2)+1+38,"")</x:f>
      </x:c>
      <x:c r="AL39" s="14" t="n"/>
      <x:c r="AM39" s="15">
        <x:f>IF(MONTH(DATE($B$2,12,1)-WEEKDAY(DATE($B$2,12,1),2)+1+39)=12,DATE($B$2,12,1)-WEEKDAY(DATE($B$2,12,1),2)+1+39,"")</x:f>
      </x:c>
      <x:c r="AN39" s="14" t="n"/>
      <x:c r="AO39" s="15">
        <x:f>IF(MONTH(DATE($B$2,12,1)-WEEKDAY(DATE($B$2,12,1),2)+1+40)=12,DATE($B$2,12,1)-WEEKDAY(DATE($B$2,12,1),2)+1+40,"")</x:f>
      </x:c>
      <x:c r="AP39" s="14" t="n"/>
      <x:c r="AQ39" s="15">
        <x:f>IF(MONTH(DATE($B$2,12,1)-WEEKDAY(DATE($B$2,12,1),2)+1+41)=12,DATE($B$2,12,1)-WEEKDAY(DATE($B$2,12,1),2)+1+41,"")</x:f>
      </x:c>
      <x:c r="AR39" s="16" t="n"/>
    </x:row>
    <x:row r="40" ht="6" customHeight="1"/>
  </x:sheetData>
  <x:mergeCells>
    <x:mergeCell ref="C6:D6"/>
    <x:mergeCell ref="A15:B15"/>
    <x:mergeCell ref="C15:D15"/>
    <x:mergeCell ref="K24:L24"/>
    <x:mergeCell ref="K33:L33"/>
    <x:mergeCell ref="P6:Q6"/>
    <x:mergeCell ref="R6:S6"/>
    <x:mergeCell ref="AK33:AL33"/>
    <x:mergeCell ref="A1:AR1"/>
    <x:mergeCell ref="AO15:AP15"/>
    <x:mergeCell ref="AM24:AN24"/>
    <x:mergeCell ref="AE33:AF33"/>
    <x:mergeCell ref="AO24:AP24"/>
    <x:mergeCell ref="AE14:AR14"/>
    <x:mergeCell ref="AE23:AR23"/>
    <x:mergeCell ref="V6:W6"/>
    <x:mergeCell ref="X6:Y6"/>
    <x:mergeCell ref="V15:W15"/>
    <x:mergeCell ref="X15:Y15"/>
    <x:mergeCell ref="A33:B33"/>
    <x:mergeCell ref="M33:N33"/>
    <x:mergeCell ref="A23:N23"/>
    <x:mergeCell ref="P15:Q15"/>
    <x:mergeCell ref="P24:Q24"/>
    <x:mergeCell ref="Z15:AA15"/>
    <x:mergeCell ref="P33:Q33"/>
    <x:mergeCell ref="AM33:AN33"/>
    <x:mergeCell ref="Z24:AA24"/>
    <x:mergeCell ref="R33:S33"/>
    <x:mergeCell ref="P14:AC14"/>
    <x:mergeCell ref="I6:J6"/>
    <x:mergeCell ref="T24:U24"/>
    <x:mergeCell ref="I15:J15"/>
    <x:mergeCell ref="T33:U33"/>
    <x:mergeCell ref="K15:L15"/>
    <x:mergeCell ref="V33:W33"/>
    <x:mergeCell ref="AI15:AJ15"/>
    <x:mergeCell ref="AK15:AL15"/>
    <x:mergeCell ref="AI24:AJ24"/>
    <x:mergeCell ref="AK24:AL24"/>
    <x:mergeCell ref="D2:AR2"/>
    <x:mergeCell ref="G24:H24"/>
    <x:mergeCell ref="I24:J24"/>
    <x:mergeCell ref="G33:H33"/>
    <x:mergeCell ref="I33:J33"/>
    <x:mergeCell ref="A5:N5"/>
    <x:mergeCell ref="A32:N32"/>
    <x:mergeCell ref="A14:N14"/>
    <x:mergeCell ref="M24:N24"/>
    <x:mergeCell ref="AG33:AH33"/>
    <x:mergeCell ref="AI33:AJ33"/>
    <x:mergeCell ref="K6:L6"/>
    <x:mergeCell ref="P5:AC5"/>
    <x:mergeCell ref="AB15:AC15"/>
    <x:mergeCell ref="T15:U15"/>
    <x:mergeCell ref="AB24:AC24"/>
    <x:mergeCell ref="AG6:AH6"/>
    <x:mergeCell ref="AI6:AJ6"/>
    <x:mergeCell ref="V24:W24"/>
    <x:mergeCell ref="E6:F6"/>
    <x:mergeCell ref="M15:N15"/>
    <x:mergeCell ref="P23:AC23"/>
    <x:mergeCell ref="E15:F15"/>
    <x:mergeCell ref="G15:H15"/>
    <x:mergeCell ref="AE15:AF15"/>
    <x:mergeCell ref="AO6:AP6"/>
    <x:mergeCell ref="AG15:AH15"/>
    <x:mergeCell ref="AE24:AF24"/>
    <x:mergeCell ref="T6:U6"/>
    <x:mergeCell ref="AQ6:AR6"/>
    <x:mergeCell ref="AG24:AH24"/>
    <x:mergeCell ref="AQ15:AR15"/>
    <x:mergeCell ref="AQ24:AR24"/>
    <x:mergeCell ref="A24:B24"/>
    <x:mergeCell ref="Z6:AA6"/>
    <x:mergeCell ref="C24:D24"/>
    <x:mergeCell ref="AB6:AC6"/>
    <x:mergeCell ref="E24:F24"/>
    <x:mergeCell ref="C33:D33"/>
    <x:mergeCell ref="E33:F33"/>
    <x:mergeCell ref="AE32:AR32"/>
    <x:mergeCell ref="A6:B6"/>
    <x:mergeCell ref="R15:S15"/>
    <x:mergeCell ref="R24:S24"/>
    <x:mergeCell ref="AO33:AP33"/>
    <x:mergeCell ref="G6:H6"/>
    <x:mergeCell ref="AQ33:AR33"/>
    <x:mergeCell ref="M6:N6"/>
    <x:mergeCell ref="X24:Y24"/>
    <x:mergeCell ref="X33:Y33"/>
    <x:mergeCell ref="Z33:AA33"/>
    <x:mergeCell ref="P32:AC32"/>
    <x:mergeCell ref="AK6:AL6"/>
    <x:mergeCell ref="AM6:AN6"/>
    <x:mergeCell ref="AE6:AF6"/>
    <x:mergeCell ref="AM15:AN15"/>
    <x:mergeCell ref="AB33:AC33"/>
    <x:mergeCell ref="AE5:AR5"/>
  </x:mergeCells>
  <x:conditionalFormatting sqref="A7:B12">
    <x:cfRule type="expression" dxfId="0" priority="1">
      <x:formula>=$A7=""</x:formula>
    </x:cfRule>
    <x:cfRule type="expression" dxfId="1" priority="2">
      <x:formula>=AND($A7&lt;&gt;"",WEEKDAY($A7,2)&gt;=6)</x:formula>
    </x:cfRule>
    <x:cfRule type="expression" dxfId="2" priority="3">
      <x:formula>=$A7=TODAY()</x:formula>
    </x:cfRule>
  </x:conditionalFormatting>
  <x:conditionalFormatting sqref="C7:D12">
    <x:cfRule type="expression" dxfId="0" priority="4">
      <x:formula>=$C7=""</x:formula>
    </x:cfRule>
    <x:cfRule type="expression" dxfId="1" priority="5">
      <x:formula>=AND($C7&lt;&gt;"",WEEKDAY($C7,2)&gt;=6)</x:formula>
    </x:cfRule>
    <x:cfRule type="expression" dxfId="2" priority="6">
      <x:formula>=$C7=TODAY()</x:formula>
    </x:cfRule>
  </x:conditionalFormatting>
  <x:conditionalFormatting sqref="E7:F12">
    <x:cfRule type="expression" dxfId="0" priority="7">
      <x:formula>=$E7=""</x:formula>
    </x:cfRule>
    <x:cfRule type="expression" dxfId="1" priority="8">
      <x:formula>=AND($E7&lt;&gt;"",WEEKDAY($E7,2)&gt;=6)</x:formula>
    </x:cfRule>
    <x:cfRule type="expression" dxfId="2" priority="9">
      <x:formula>=$E7=TODAY()</x:formula>
    </x:cfRule>
  </x:conditionalFormatting>
  <x:conditionalFormatting sqref="G7:H12">
    <x:cfRule type="expression" dxfId="0" priority="10">
      <x:formula>=$G7=""</x:formula>
    </x:cfRule>
    <x:cfRule type="expression" dxfId="1" priority="11">
      <x:formula>=AND($G7&lt;&gt;"",WEEKDAY($G7,2)&gt;=6)</x:formula>
    </x:cfRule>
    <x:cfRule type="expression" dxfId="2" priority="12">
      <x:formula>=$G7=TODAY()</x:formula>
    </x:cfRule>
  </x:conditionalFormatting>
  <x:conditionalFormatting sqref="I7:J12">
    <x:cfRule type="expression" dxfId="0" priority="13">
      <x:formula>=$I7=""</x:formula>
    </x:cfRule>
    <x:cfRule type="expression" dxfId="1" priority="14">
      <x:formula>=AND($I7&lt;&gt;"",WEEKDAY($I7,2)&gt;=6)</x:formula>
    </x:cfRule>
    <x:cfRule type="expression" dxfId="2" priority="15">
      <x:formula>=$I7=TODAY()</x:formula>
    </x:cfRule>
  </x:conditionalFormatting>
  <x:conditionalFormatting sqref="K7:L12">
    <x:cfRule type="expression" dxfId="0" priority="16">
      <x:formula>=$K7=""</x:formula>
    </x:cfRule>
    <x:cfRule type="expression" dxfId="1" priority="17">
      <x:formula>=AND($K7&lt;&gt;"",WEEKDAY($K7,2)&gt;=6)</x:formula>
    </x:cfRule>
    <x:cfRule type="expression" dxfId="2" priority="18">
      <x:formula>=$K7=TODAY()</x:formula>
    </x:cfRule>
  </x:conditionalFormatting>
  <x:conditionalFormatting sqref="M7:N12">
    <x:cfRule type="expression" dxfId="0" priority="19">
      <x:formula>=$M7=""</x:formula>
    </x:cfRule>
    <x:cfRule type="expression" dxfId="1" priority="20">
      <x:formula>=AND($M7&lt;&gt;"",WEEKDAY($M7,2)&gt;=6)</x:formula>
    </x:cfRule>
    <x:cfRule type="expression" dxfId="2" priority="21">
      <x:formula>=$M7=TODAY()</x:formula>
    </x:cfRule>
  </x:conditionalFormatting>
  <x:conditionalFormatting sqref="P7:Q12">
    <x:cfRule type="expression" dxfId="0" priority="22">
      <x:formula>=$P7=""</x:formula>
    </x:cfRule>
    <x:cfRule type="expression" dxfId="1" priority="23">
      <x:formula>=AND($P7&lt;&gt;"",WEEKDAY($P7,2)&gt;=6)</x:formula>
    </x:cfRule>
    <x:cfRule type="expression" dxfId="2" priority="24">
      <x:formula>=$P7=TODAY()</x:formula>
    </x:cfRule>
  </x:conditionalFormatting>
  <x:conditionalFormatting sqref="R7:S12">
    <x:cfRule type="expression" dxfId="0" priority="25">
      <x:formula>=$R7=""</x:formula>
    </x:cfRule>
    <x:cfRule type="expression" dxfId="1" priority="26">
      <x:formula>=AND($R7&lt;&gt;"",WEEKDAY($R7,2)&gt;=6)</x:formula>
    </x:cfRule>
    <x:cfRule type="expression" dxfId="2" priority="27">
      <x:formula>=$R7=TODAY()</x:formula>
    </x:cfRule>
  </x:conditionalFormatting>
  <x:conditionalFormatting sqref="T7:U12">
    <x:cfRule type="expression" dxfId="0" priority="28">
      <x:formula>=$T7=""</x:formula>
    </x:cfRule>
    <x:cfRule type="expression" dxfId="1" priority="29">
      <x:formula>=AND($T7&lt;&gt;"",WEEKDAY($T7,2)&gt;=6)</x:formula>
    </x:cfRule>
    <x:cfRule type="expression" dxfId="2" priority="30">
      <x:formula>=$T7=TODAY()</x:formula>
    </x:cfRule>
  </x:conditionalFormatting>
  <x:conditionalFormatting sqref="V7:W12">
    <x:cfRule type="expression" dxfId="0" priority="31">
      <x:formula>=$V7=""</x:formula>
    </x:cfRule>
    <x:cfRule type="expression" dxfId="1" priority="32">
      <x:formula>=AND($V7&lt;&gt;"",WEEKDAY($V7,2)&gt;=6)</x:formula>
    </x:cfRule>
    <x:cfRule type="expression" dxfId="2" priority="33">
      <x:formula>=$V7=TODAY()</x:formula>
    </x:cfRule>
  </x:conditionalFormatting>
  <x:conditionalFormatting sqref="X7:Y12">
    <x:cfRule type="expression" dxfId="0" priority="34">
      <x:formula>=$X7=""</x:formula>
    </x:cfRule>
    <x:cfRule type="expression" dxfId="1" priority="35">
      <x:formula>=AND($X7&lt;&gt;"",WEEKDAY($X7,2)&gt;=6)</x:formula>
    </x:cfRule>
    <x:cfRule type="expression" dxfId="2" priority="36">
      <x:formula>=$X7=TODAY()</x:formula>
    </x:cfRule>
  </x:conditionalFormatting>
  <x:conditionalFormatting sqref="Z7:AA12">
    <x:cfRule type="expression" dxfId="0" priority="37">
      <x:formula>=$Z7=""</x:formula>
    </x:cfRule>
    <x:cfRule type="expression" dxfId="1" priority="38">
      <x:formula>=AND($Z7&lt;&gt;"",WEEKDAY($Z7,2)&gt;=6)</x:formula>
    </x:cfRule>
    <x:cfRule type="expression" dxfId="2" priority="39">
      <x:formula>=$Z7=TODAY()</x:formula>
    </x:cfRule>
  </x:conditionalFormatting>
  <x:conditionalFormatting sqref="AB7:AC12">
    <x:cfRule type="expression" dxfId="0" priority="40">
      <x:formula>=$AB7=""</x:formula>
    </x:cfRule>
    <x:cfRule type="expression" dxfId="1" priority="41">
      <x:formula>=AND($AB7&lt;&gt;"",WEEKDAY($AB7,2)&gt;=6)</x:formula>
    </x:cfRule>
    <x:cfRule type="expression" dxfId="2" priority="42">
      <x:formula>=$AB7=TODAY()</x:formula>
    </x:cfRule>
  </x:conditionalFormatting>
  <x:conditionalFormatting sqref="AE7:AF12">
    <x:cfRule type="expression" dxfId="0" priority="43">
      <x:formula>=$AE7=""</x:formula>
    </x:cfRule>
    <x:cfRule type="expression" dxfId="1" priority="44">
      <x:formula>=AND($AE7&lt;&gt;"",WEEKDAY($AE7,2)&gt;=6)</x:formula>
    </x:cfRule>
    <x:cfRule type="expression" dxfId="2" priority="45">
      <x:formula>=$AE7=TODAY()</x:formula>
    </x:cfRule>
  </x:conditionalFormatting>
  <x:conditionalFormatting sqref="AG7:AH12">
    <x:cfRule type="expression" dxfId="0" priority="46">
      <x:formula>=$AG7=""</x:formula>
    </x:cfRule>
    <x:cfRule type="expression" dxfId="1" priority="47">
      <x:formula>=AND($AG7&lt;&gt;"",WEEKDAY($AG7,2)&gt;=6)</x:formula>
    </x:cfRule>
    <x:cfRule type="expression" dxfId="2" priority="48">
      <x:formula>=$AG7=TODAY()</x:formula>
    </x:cfRule>
  </x:conditionalFormatting>
  <x:conditionalFormatting sqref="AI7:AJ12">
    <x:cfRule type="expression" dxfId="0" priority="49">
      <x:formula>=$AI7=""</x:formula>
    </x:cfRule>
    <x:cfRule type="expression" dxfId="1" priority="50">
      <x:formula>=AND($AI7&lt;&gt;"",WEEKDAY($AI7,2)&gt;=6)</x:formula>
    </x:cfRule>
    <x:cfRule type="expression" dxfId="2" priority="51">
      <x:formula>=$AI7=TODAY()</x:formula>
    </x:cfRule>
  </x:conditionalFormatting>
  <x:conditionalFormatting sqref="AK7:AL12">
    <x:cfRule type="expression" dxfId="0" priority="52">
      <x:formula>=$AK7=""</x:formula>
    </x:cfRule>
    <x:cfRule type="expression" dxfId="1" priority="53">
      <x:formula>=AND($AK7&lt;&gt;"",WEEKDAY($AK7,2)&gt;=6)</x:formula>
    </x:cfRule>
    <x:cfRule type="expression" dxfId="2" priority="54">
      <x:formula>=$AK7=TODAY()</x:formula>
    </x:cfRule>
  </x:conditionalFormatting>
  <x:conditionalFormatting sqref="AM7:AN12">
    <x:cfRule type="expression" dxfId="0" priority="55">
      <x:formula>=$AM7=""</x:formula>
    </x:cfRule>
    <x:cfRule type="expression" dxfId="1" priority="56">
      <x:formula>=AND($AM7&lt;&gt;"",WEEKDAY($AM7,2)&gt;=6)</x:formula>
    </x:cfRule>
    <x:cfRule type="expression" dxfId="2" priority="57">
      <x:formula>=$AM7=TODAY()</x:formula>
    </x:cfRule>
  </x:conditionalFormatting>
  <x:conditionalFormatting sqref="AO7:AP12">
    <x:cfRule type="expression" dxfId="0" priority="58">
      <x:formula>=$AO7=""</x:formula>
    </x:cfRule>
    <x:cfRule type="expression" dxfId="1" priority="59">
      <x:formula>=AND($AO7&lt;&gt;"",WEEKDAY($AO7,2)&gt;=6)</x:formula>
    </x:cfRule>
    <x:cfRule type="expression" dxfId="2" priority="60">
      <x:formula>=$AO7=TODAY()</x:formula>
    </x:cfRule>
  </x:conditionalFormatting>
  <x:conditionalFormatting sqref="AQ7:AR12">
    <x:cfRule type="expression" dxfId="0" priority="61">
      <x:formula>=$AQ7=""</x:formula>
    </x:cfRule>
    <x:cfRule type="expression" dxfId="1" priority="62">
      <x:formula>=AND($AQ7&lt;&gt;"",WEEKDAY($AQ7,2)&gt;=6)</x:formula>
    </x:cfRule>
    <x:cfRule type="expression" dxfId="2" priority="63">
      <x:formula>=$AQ7=TODAY()</x:formula>
    </x:cfRule>
  </x:conditionalFormatting>
  <x:conditionalFormatting sqref="A16:B21">
    <x:cfRule type="expression" dxfId="0" priority="64">
      <x:formula>=$A16=""</x:formula>
    </x:cfRule>
    <x:cfRule type="expression" dxfId="1" priority="65">
      <x:formula>=AND($A16&lt;&gt;"",WEEKDAY($A16,2)&gt;=6)</x:formula>
    </x:cfRule>
    <x:cfRule type="expression" dxfId="2" priority="66">
      <x:formula>=$A16=TODAY()</x:formula>
    </x:cfRule>
  </x:conditionalFormatting>
  <x:conditionalFormatting sqref="C16:D21">
    <x:cfRule type="expression" dxfId="0" priority="67">
      <x:formula>=$C16=""</x:formula>
    </x:cfRule>
    <x:cfRule type="expression" dxfId="1" priority="68">
      <x:formula>=AND($C16&lt;&gt;"",WEEKDAY($C16,2)&gt;=6)</x:formula>
    </x:cfRule>
    <x:cfRule type="expression" dxfId="2" priority="69">
      <x:formula>=$C16=TODAY()</x:formula>
    </x:cfRule>
  </x:conditionalFormatting>
  <x:conditionalFormatting sqref="E16:F21">
    <x:cfRule type="expression" dxfId="0" priority="70">
      <x:formula>=$E16=""</x:formula>
    </x:cfRule>
    <x:cfRule type="expression" dxfId="1" priority="71">
      <x:formula>=AND($E16&lt;&gt;"",WEEKDAY($E16,2)&gt;=6)</x:formula>
    </x:cfRule>
    <x:cfRule type="expression" dxfId="2" priority="72">
      <x:formula>=$E16=TODAY()</x:formula>
    </x:cfRule>
  </x:conditionalFormatting>
  <x:conditionalFormatting sqref="G16:H21">
    <x:cfRule type="expression" dxfId="0" priority="73">
      <x:formula>=$G16=""</x:formula>
    </x:cfRule>
    <x:cfRule type="expression" dxfId="1" priority="74">
      <x:formula>=AND($G16&lt;&gt;"",WEEKDAY($G16,2)&gt;=6)</x:formula>
    </x:cfRule>
    <x:cfRule type="expression" dxfId="2" priority="75">
      <x:formula>=$G16=TODAY()</x:formula>
    </x:cfRule>
  </x:conditionalFormatting>
  <x:conditionalFormatting sqref="I16:J21">
    <x:cfRule type="expression" dxfId="0" priority="76">
      <x:formula>=$I16=""</x:formula>
    </x:cfRule>
    <x:cfRule type="expression" dxfId="1" priority="77">
      <x:formula>=AND($I16&lt;&gt;"",WEEKDAY($I16,2)&gt;=6)</x:formula>
    </x:cfRule>
    <x:cfRule type="expression" dxfId="2" priority="78">
      <x:formula>=$I16=TODAY()</x:formula>
    </x:cfRule>
  </x:conditionalFormatting>
  <x:conditionalFormatting sqref="K16:L21">
    <x:cfRule type="expression" dxfId="0" priority="79">
      <x:formula>=$K16=""</x:formula>
    </x:cfRule>
    <x:cfRule type="expression" dxfId="1" priority="80">
      <x:formula>=AND($K16&lt;&gt;"",WEEKDAY($K16,2)&gt;=6)</x:formula>
    </x:cfRule>
    <x:cfRule type="expression" dxfId="2" priority="81">
      <x:formula>=$K16=TODAY()</x:formula>
    </x:cfRule>
  </x:conditionalFormatting>
  <x:conditionalFormatting sqref="M16:N21">
    <x:cfRule type="expression" dxfId="0" priority="82">
      <x:formula>=$M16=""</x:formula>
    </x:cfRule>
    <x:cfRule type="expression" dxfId="1" priority="83">
      <x:formula>=AND($M16&lt;&gt;"",WEEKDAY($M16,2)&gt;=6)</x:formula>
    </x:cfRule>
    <x:cfRule type="expression" dxfId="2" priority="84">
      <x:formula>=$M16=TODAY()</x:formula>
    </x:cfRule>
  </x:conditionalFormatting>
  <x:conditionalFormatting sqref="P16:Q21">
    <x:cfRule type="expression" dxfId="0" priority="85">
      <x:formula>=$P16=""</x:formula>
    </x:cfRule>
    <x:cfRule type="expression" dxfId="1" priority="86">
      <x:formula>=AND($P16&lt;&gt;"",WEEKDAY($P16,2)&gt;=6)</x:formula>
    </x:cfRule>
    <x:cfRule type="expression" dxfId="2" priority="87">
      <x:formula>=$P16=TODAY()</x:formula>
    </x:cfRule>
  </x:conditionalFormatting>
  <x:conditionalFormatting sqref="R16:S21">
    <x:cfRule type="expression" dxfId="0" priority="88">
      <x:formula>=$R16=""</x:formula>
    </x:cfRule>
    <x:cfRule type="expression" dxfId="1" priority="89">
      <x:formula>=AND($R16&lt;&gt;"",WEEKDAY($R16,2)&gt;=6)</x:formula>
    </x:cfRule>
    <x:cfRule type="expression" dxfId="2" priority="90">
      <x:formula>=$R16=TODAY()</x:formula>
    </x:cfRule>
  </x:conditionalFormatting>
  <x:conditionalFormatting sqref="T16:U21">
    <x:cfRule type="expression" dxfId="0" priority="91">
      <x:formula>=$T16=""</x:formula>
    </x:cfRule>
    <x:cfRule type="expression" dxfId="1" priority="92">
      <x:formula>=AND($T16&lt;&gt;"",WEEKDAY($T16,2)&gt;=6)</x:formula>
    </x:cfRule>
    <x:cfRule type="expression" dxfId="2" priority="93">
      <x:formula>=$T16=TODAY()</x:formula>
    </x:cfRule>
  </x:conditionalFormatting>
  <x:conditionalFormatting sqref="V16:W21">
    <x:cfRule type="expression" dxfId="0" priority="94">
      <x:formula>=$V16=""</x:formula>
    </x:cfRule>
    <x:cfRule type="expression" dxfId="1" priority="95">
      <x:formula>=AND($V16&lt;&gt;"",WEEKDAY($V16,2)&gt;=6)</x:formula>
    </x:cfRule>
    <x:cfRule type="expression" dxfId="2" priority="96">
      <x:formula>=$V16=TODAY()</x:formula>
    </x:cfRule>
  </x:conditionalFormatting>
  <x:conditionalFormatting sqref="X16:Y21">
    <x:cfRule type="expression" dxfId="0" priority="97">
      <x:formula>=$X16=""</x:formula>
    </x:cfRule>
    <x:cfRule type="expression" dxfId="1" priority="98">
      <x:formula>=AND($X16&lt;&gt;"",WEEKDAY($X16,2)&gt;=6)</x:formula>
    </x:cfRule>
    <x:cfRule type="expression" dxfId="2" priority="99">
      <x:formula>=$X16=TODAY()</x:formula>
    </x:cfRule>
  </x:conditionalFormatting>
  <x:conditionalFormatting sqref="Z16:AA21">
    <x:cfRule type="expression" dxfId="0" priority="100">
      <x:formula>=$Z16=""</x:formula>
    </x:cfRule>
    <x:cfRule type="expression" dxfId="1" priority="101">
      <x:formula>=AND($Z16&lt;&gt;"",WEEKDAY($Z16,2)&gt;=6)</x:formula>
    </x:cfRule>
    <x:cfRule type="expression" dxfId="2" priority="102">
      <x:formula>=$Z16=TODAY()</x:formula>
    </x:cfRule>
  </x:conditionalFormatting>
  <x:conditionalFormatting sqref="AB16:AC21">
    <x:cfRule type="expression" dxfId="0" priority="103">
      <x:formula>=$AB16=""</x:formula>
    </x:cfRule>
    <x:cfRule type="expression" dxfId="1" priority="104">
      <x:formula>=AND($AB16&lt;&gt;"",WEEKDAY($AB16,2)&gt;=6)</x:formula>
    </x:cfRule>
    <x:cfRule type="expression" dxfId="2" priority="105">
      <x:formula>=$AB16=TODAY()</x:formula>
    </x:cfRule>
  </x:conditionalFormatting>
  <x:conditionalFormatting sqref="AE16:AF21">
    <x:cfRule type="expression" dxfId="0" priority="106">
      <x:formula>=$AE16=""</x:formula>
    </x:cfRule>
    <x:cfRule type="expression" dxfId="1" priority="107">
      <x:formula>=AND($AE16&lt;&gt;"",WEEKDAY($AE16,2)&gt;=6)</x:formula>
    </x:cfRule>
    <x:cfRule type="expression" dxfId="2" priority="108">
      <x:formula>=$AE16=TODAY()</x:formula>
    </x:cfRule>
  </x:conditionalFormatting>
  <x:conditionalFormatting sqref="AG16:AH21">
    <x:cfRule type="expression" dxfId="0" priority="109">
      <x:formula>=$AG16=""</x:formula>
    </x:cfRule>
    <x:cfRule type="expression" dxfId="1" priority="110">
      <x:formula>=AND($AG16&lt;&gt;"",WEEKDAY($AG16,2)&gt;=6)</x:formula>
    </x:cfRule>
    <x:cfRule type="expression" dxfId="2" priority="111">
      <x:formula>=$AG16=TODAY()</x:formula>
    </x:cfRule>
  </x:conditionalFormatting>
  <x:conditionalFormatting sqref="AI16:AJ21">
    <x:cfRule type="expression" dxfId="0" priority="112">
      <x:formula>=$AI16=""</x:formula>
    </x:cfRule>
    <x:cfRule type="expression" dxfId="1" priority="113">
      <x:formula>=AND($AI16&lt;&gt;"",WEEKDAY($AI16,2)&gt;=6)</x:formula>
    </x:cfRule>
    <x:cfRule type="expression" dxfId="2" priority="114">
      <x:formula>=$AI16=TODAY()</x:formula>
    </x:cfRule>
  </x:conditionalFormatting>
  <x:conditionalFormatting sqref="AK16:AL21">
    <x:cfRule type="expression" dxfId="0" priority="115">
      <x:formula>=$AK16=""</x:formula>
    </x:cfRule>
    <x:cfRule type="expression" dxfId="1" priority="116">
      <x:formula>=AND($AK16&lt;&gt;"",WEEKDAY($AK16,2)&gt;=6)</x:formula>
    </x:cfRule>
    <x:cfRule type="expression" dxfId="2" priority="117">
      <x:formula>=$AK16=TODAY()</x:formula>
    </x:cfRule>
  </x:conditionalFormatting>
  <x:conditionalFormatting sqref="AM16:AN21">
    <x:cfRule type="expression" dxfId="0" priority="118">
      <x:formula>=$AM16=""</x:formula>
    </x:cfRule>
    <x:cfRule type="expression" dxfId="1" priority="119">
      <x:formula>=AND($AM16&lt;&gt;"",WEEKDAY($AM16,2)&gt;=6)</x:formula>
    </x:cfRule>
    <x:cfRule type="expression" dxfId="2" priority="120">
      <x:formula>=$AM16=TODAY()</x:formula>
    </x:cfRule>
  </x:conditionalFormatting>
  <x:conditionalFormatting sqref="AO16:AP21">
    <x:cfRule type="expression" dxfId="0" priority="121">
      <x:formula>=$AO16=""</x:formula>
    </x:cfRule>
    <x:cfRule type="expression" dxfId="1" priority="122">
      <x:formula>=AND($AO16&lt;&gt;"",WEEKDAY($AO16,2)&gt;=6)</x:formula>
    </x:cfRule>
    <x:cfRule type="expression" dxfId="2" priority="123">
      <x:formula>=$AO16=TODAY()</x:formula>
    </x:cfRule>
  </x:conditionalFormatting>
  <x:conditionalFormatting sqref="AQ16:AR21">
    <x:cfRule type="expression" dxfId="0" priority="124">
      <x:formula>=$AQ16=""</x:formula>
    </x:cfRule>
    <x:cfRule type="expression" dxfId="1" priority="125">
      <x:formula>=AND($AQ16&lt;&gt;"",WEEKDAY($AQ16,2)&gt;=6)</x:formula>
    </x:cfRule>
    <x:cfRule type="expression" dxfId="2" priority="126">
      <x:formula>=$AQ16=TODAY()</x:formula>
    </x:cfRule>
  </x:conditionalFormatting>
  <x:conditionalFormatting sqref="A25:B30">
    <x:cfRule type="expression" dxfId="0" priority="127">
      <x:formula>=$A25=""</x:formula>
    </x:cfRule>
    <x:cfRule type="expression" dxfId="1" priority="128">
      <x:formula>=AND($A25&lt;&gt;"",WEEKDAY($A25,2)&gt;=6)</x:formula>
    </x:cfRule>
    <x:cfRule type="expression" dxfId="2" priority="129">
      <x:formula>=$A25=TODAY()</x:formula>
    </x:cfRule>
  </x:conditionalFormatting>
  <x:conditionalFormatting sqref="C25:D30">
    <x:cfRule type="expression" dxfId="0" priority="130">
      <x:formula>=$C25=""</x:formula>
    </x:cfRule>
    <x:cfRule type="expression" dxfId="1" priority="131">
      <x:formula>=AND($C25&lt;&gt;"",WEEKDAY($C25,2)&gt;=6)</x:formula>
    </x:cfRule>
    <x:cfRule type="expression" dxfId="2" priority="132">
      <x:formula>=$C25=TODAY()</x:formula>
    </x:cfRule>
  </x:conditionalFormatting>
  <x:conditionalFormatting sqref="E25:F30">
    <x:cfRule type="expression" dxfId="0" priority="133">
      <x:formula>=$E25=""</x:formula>
    </x:cfRule>
    <x:cfRule type="expression" dxfId="1" priority="134">
      <x:formula>=AND($E25&lt;&gt;"",WEEKDAY($E25,2)&gt;=6)</x:formula>
    </x:cfRule>
    <x:cfRule type="expression" dxfId="2" priority="135">
      <x:formula>=$E25=TODAY()</x:formula>
    </x:cfRule>
  </x:conditionalFormatting>
  <x:conditionalFormatting sqref="G25:H30">
    <x:cfRule type="expression" dxfId="0" priority="136">
      <x:formula>=$G25=""</x:formula>
    </x:cfRule>
    <x:cfRule type="expression" dxfId="1" priority="137">
      <x:formula>=AND($G25&lt;&gt;"",WEEKDAY($G25,2)&gt;=6)</x:formula>
    </x:cfRule>
    <x:cfRule type="expression" dxfId="2" priority="138">
      <x:formula>=$G25=TODAY()</x:formula>
    </x:cfRule>
  </x:conditionalFormatting>
  <x:conditionalFormatting sqref="I25:J30">
    <x:cfRule type="expression" dxfId="0" priority="139">
      <x:formula>=$I25=""</x:formula>
    </x:cfRule>
    <x:cfRule type="expression" dxfId="1" priority="140">
      <x:formula>=AND($I25&lt;&gt;"",WEEKDAY($I25,2)&gt;=6)</x:formula>
    </x:cfRule>
    <x:cfRule type="expression" dxfId="2" priority="141">
      <x:formula>=$I25=TODAY()</x:formula>
    </x:cfRule>
  </x:conditionalFormatting>
  <x:conditionalFormatting sqref="K25:L30">
    <x:cfRule type="expression" dxfId="0" priority="142">
      <x:formula>=$K25=""</x:formula>
    </x:cfRule>
    <x:cfRule type="expression" dxfId="1" priority="143">
      <x:formula>=AND($K25&lt;&gt;"",WEEKDAY($K25,2)&gt;=6)</x:formula>
    </x:cfRule>
    <x:cfRule type="expression" dxfId="2" priority="144">
      <x:formula>=$K25=TODAY()</x:formula>
    </x:cfRule>
  </x:conditionalFormatting>
  <x:conditionalFormatting sqref="M25:N30">
    <x:cfRule type="expression" dxfId="0" priority="145">
      <x:formula>=$M25=""</x:formula>
    </x:cfRule>
    <x:cfRule type="expression" dxfId="1" priority="146">
      <x:formula>=AND($M25&lt;&gt;"",WEEKDAY($M25,2)&gt;=6)</x:formula>
    </x:cfRule>
    <x:cfRule type="expression" dxfId="2" priority="147">
      <x:formula>=$M25=TODAY()</x:formula>
    </x:cfRule>
  </x:conditionalFormatting>
  <x:conditionalFormatting sqref="P25:Q30">
    <x:cfRule type="expression" dxfId="0" priority="148">
      <x:formula>=$P25=""</x:formula>
    </x:cfRule>
    <x:cfRule type="expression" dxfId="1" priority="149">
      <x:formula>=AND($P25&lt;&gt;"",WEEKDAY($P25,2)&gt;=6)</x:formula>
    </x:cfRule>
    <x:cfRule type="expression" dxfId="2" priority="150">
      <x:formula>=$P25=TODAY()</x:formula>
    </x:cfRule>
  </x:conditionalFormatting>
  <x:conditionalFormatting sqref="R25:S30">
    <x:cfRule type="expression" dxfId="0" priority="151">
      <x:formula>=$R25=""</x:formula>
    </x:cfRule>
    <x:cfRule type="expression" dxfId="1" priority="152">
      <x:formula>=AND($R25&lt;&gt;"",WEEKDAY($R25,2)&gt;=6)</x:formula>
    </x:cfRule>
    <x:cfRule type="expression" dxfId="2" priority="153">
      <x:formula>=$R25=TODAY()</x:formula>
    </x:cfRule>
  </x:conditionalFormatting>
  <x:conditionalFormatting sqref="T25:U30">
    <x:cfRule type="expression" dxfId="0" priority="154">
      <x:formula>=$T25=""</x:formula>
    </x:cfRule>
    <x:cfRule type="expression" dxfId="1" priority="155">
      <x:formula>=AND($T25&lt;&gt;"",WEEKDAY($T25,2)&gt;=6)</x:formula>
    </x:cfRule>
    <x:cfRule type="expression" dxfId="2" priority="156">
      <x:formula>=$T25=TODAY()</x:formula>
    </x:cfRule>
  </x:conditionalFormatting>
  <x:conditionalFormatting sqref="V25:W30">
    <x:cfRule type="expression" dxfId="0" priority="157">
      <x:formula>=$V25=""</x:formula>
    </x:cfRule>
    <x:cfRule type="expression" dxfId="1" priority="158">
      <x:formula>=AND($V25&lt;&gt;"",WEEKDAY($V25,2)&gt;=6)</x:formula>
    </x:cfRule>
    <x:cfRule type="expression" dxfId="2" priority="159">
      <x:formula>=$V25=TODAY()</x:formula>
    </x:cfRule>
  </x:conditionalFormatting>
  <x:conditionalFormatting sqref="X25:Y30">
    <x:cfRule type="expression" dxfId="0" priority="160">
      <x:formula>=$X25=""</x:formula>
    </x:cfRule>
    <x:cfRule type="expression" dxfId="1" priority="161">
      <x:formula>=AND($X25&lt;&gt;"",WEEKDAY($X25,2)&gt;=6)</x:formula>
    </x:cfRule>
    <x:cfRule type="expression" dxfId="2" priority="162">
      <x:formula>=$X25=TODAY()</x:formula>
    </x:cfRule>
  </x:conditionalFormatting>
  <x:conditionalFormatting sqref="Z25:AA30">
    <x:cfRule type="expression" dxfId="0" priority="163">
      <x:formula>=$Z25=""</x:formula>
    </x:cfRule>
    <x:cfRule type="expression" dxfId="1" priority="164">
      <x:formula>=AND($Z25&lt;&gt;"",WEEKDAY($Z25,2)&gt;=6)</x:formula>
    </x:cfRule>
    <x:cfRule type="expression" dxfId="2" priority="165">
      <x:formula>=$Z25=TODAY()</x:formula>
    </x:cfRule>
  </x:conditionalFormatting>
  <x:conditionalFormatting sqref="AB25:AC30">
    <x:cfRule type="expression" dxfId="0" priority="166">
      <x:formula>=$AB25=""</x:formula>
    </x:cfRule>
    <x:cfRule type="expression" dxfId="1" priority="167">
      <x:formula>=AND($AB25&lt;&gt;"",WEEKDAY($AB25,2)&gt;=6)</x:formula>
    </x:cfRule>
    <x:cfRule type="expression" dxfId="2" priority="168">
      <x:formula>=$AB25=TODAY()</x:formula>
    </x:cfRule>
  </x:conditionalFormatting>
  <x:conditionalFormatting sqref="AE25:AF30">
    <x:cfRule type="expression" dxfId="0" priority="169">
      <x:formula>=$AE25=""</x:formula>
    </x:cfRule>
    <x:cfRule type="expression" dxfId="1" priority="170">
      <x:formula>=AND($AE25&lt;&gt;"",WEEKDAY($AE25,2)&gt;=6)</x:formula>
    </x:cfRule>
    <x:cfRule type="expression" dxfId="2" priority="171">
      <x:formula>=$AE25=TODAY()</x:formula>
    </x:cfRule>
  </x:conditionalFormatting>
  <x:conditionalFormatting sqref="AG25:AH30">
    <x:cfRule type="expression" dxfId="0" priority="172">
      <x:formula>=$AG25=""</x:formula>
    </x:cfRule>
    <x:cfRule type="expression" dxfId="1" priority="173">
      <x:formula>=AND($AG25&lt;&gt;"",WEEKDAY($AG25,2)&gt;=6)</x:formula>
    </x:cfRule>
    <x:cfRule type="expression" dxfId="2" priority="174">
      <x:formula>=$AG25=TODAY()</x:formula>
    </x:cfRule>
  </x:conditionalFormatting>
  <x:conditionalFormatting sqref="AI25:AJ30">
    <x:cfRule type="expression" dxfId="0" priority="175">
      <x:formula>=$AI25=""</x:formula>
    </x:cfRule>
    <x:cfRule type="expression" dxfId="1" priority="176">
      <x:formula>=AND($AI25&lt;&gt;"",WEEKDAY($AI25,2)&gt;=6)</x:formula>
    </x:cfRule>
    <x:cfRule type="expression" dxfId="2" priority="177">
      <x:formula>=$AI25=TODAY()</x:formula>
    </x:cfRule>
  </x:conditionalFormatting>
  <x:conditionalFormatting sqref="AK25:AL30">
    <x:cfRule type="expression" dxfId="0" priority="178">
      <x:formula>=$AK25=""</x:formula>
    </x:cfRule>
    <x:cfRule type="expression" dxfId="1" priority="179">
      <x:formula>=AND($AK25&lt;&gt;"",WEEKDAY($AK25,2)&gt;=6)</x:formula>
    </x:cfRule>
    <x:cfRule type="expression" dxfId="2" priority="180">
      <x:formula>=$AK25=TODAY()</x:formula>
    </x:cfRule>
  </x:conditionalFormatting>
  <x:conditionalFormatting sqref="AM25:AN30">
    <x:cfRule type="expression" dxfId="0" priority="181">
      <x:formula>=$AM25=""</x:formula>
    </x:cfRule>
    <x:cfRule type="expression" dxfId="1" priority="182">
      <x:formula>=AND($AM25&lt;&gt;"",WEEKDAY($AM25,2)&gt;=6)</x:formula>
    </x:cfRule>
    <x:cfRule type="expression" dxfId="2" priority="183">
      <x:formula>=$AM25=TODAY()</x:formula>
    </x:cfRule>
  </x:conditionalFormatting>
  <x:conditionalFormatting sqref="AO25:AP30">
    <x:cfRule type="expression" dxfId="0" priority="184">
      <x:formula>=$AO25=""</x:formula>
    </x:cfRule>
    <x:cfRule type="expression" dxfId="1" priority="185">
      <x:formula>=AND($AO25&lt;&gt;"",WEEKDAY($AO25,2)&gt;=6)</x:formula>
    </x:cfRule>
    <x:cfRule type="expression" dxfId="2" priority="186">
      <x:formula>=$AO25=TODAY()</x:formula>
    </x:cfRule>
  </x:conditionalFormatting>
  <x:conditionalFormatting sqref="AQ25:AR30">
    <x:cfRule type="expression" dxfId="0" priority="187">
      <x:formula>=$AQ25=""</x:formula>
    </x:cfRule>
    <x:cfRule type="expression" dxfId="1" priority="188">
      <x:formula>=AND($AQ25&lt;&gt;"",WEEKDAY($AQ25,2)&gt;=6)</x:formula>
    </x:cfRule>
    <x:cfRule type="expression" dxfId="2" priority="189">
      <x:formula>=$AQ25=TODAY()</x:formula>
    </x:cfRule>
  </x:conditionalFormatting>
  <x:conditionalFormatting sqref="A34:B39">
    <x:cfRule type="expression" dxfId="0" priority="190">
      <x:formula>=$A34=""</x:formula>
    </x:cfRule>
    <x:cfRule type="expression" dxfId="1" priority="191">
      <x:formula>=AND($A34&lt;&gt;"",WEEKDAY($A34,2)&gt;=6)</x:formula>
    </x:cfRule>
    <x:cfRule type="expression" dxfId="2" priority="192">
      <x:formula>=$A34=TODAY()</x:formula>
    </x:cfRule>
  </x:conditionalFormatting>
  <x:conditionalFormatting sqref="C34:D39">
    <x:cfRule type="expression" dxfId="0" priority="193">
      <x:formula>=$C34=""</x:formula>
    </x:cfRule>
    <x:cfRule type="expression" dxfId="1" priority="194">
      <x:formula>=AND($C34&lt;&gt;"",WEEKDAY($C34,2)&gt;=6)</x:formula>
    </x:cfRule>
    <x:cfRule type="expression" dxfId="2" priority="195">
      <x:formula>=$C34=TODAY()</x:formula>
    </x:cfRule>
  </x:conditionalFormatting>
  <x:conditionalFormatting sqref="E34:F39">
    <x:cfRule type="expression" dxfId="0" priority="196">
      <x:formula>=$E34=""</x:formula>
    </x:cfRule>
    <x:cfRule type="expression" dxfId="1" priority="197">
      <x:formula>=AND($E34&lt;&gt;"",WEEKDAY($E34,2)&gt;=6)</x:formula>
    </x:cfRule>
    <x:cfRule type="expression" dxfId="2" priority="198">
      <x:formula>=$E34=TODAY()</x:formula>
    </x:cfRule>
  </x:conditionalFormatting>
  <x:conditionalFormatting sqref="G34:H39">
    <x:cfRule type="expression" dxfId="0" priority="199">
      <x:formula>=$G34=""</x:formula>
    </x:cfRule>
    <x:cfRule type="expression" dxfId="1" priority="200">
      <x:formula>=AND($G34&lt;&gt;"",WEEKDAY($G34,2)&gt;=6)</x:formula>
    </x:cfRule>
    <x:cfRule type="expression" dxfId="2" priority="201">
      <x:formula>=$G34=TODAY()</x:formula>
    </x:cfRule>
  </x:conditionalFormatting>
  <x:conditionalFormatting sqref="I34:J39">
    <x:cfRule type="expression" dxfId="0" priority="202">
      <x:formula>=$I34=""</x:formula>
    </x:cfRule>
    <x:cfRule type="expression" dxfId="1" priority="203">
      <x:formula>=AND($I34&lt;&gt;"",WEEKDAY($I34,2)&gt;=6)</x:formula>
    </x:cfRule>
    <x:cfRule type="expression" dxfId="2" priority="204">
      <x:formula>=$I34=TODAY()</x:formula>
    </x:cfRule>
  </x:conditionalFormatting>
  <x:conditionalFormatting sqref="K34:L39">
    <x:cfRule type="expression" dxfId="0" priority="205">
      <x:formula>=$K34=""</x:formula>
    </x:cfRule>
    <x:cfRule type="expression" dxfId="1" priority="206">
      <x:formula>=AND($K34&lt;&gt;"",WEEKDAY($K34,2)&gt;=6)</x:formula>
    </x:cfRule>
    <x:cfRule type="expression" dxfId="2" priority="207">
      <x:formula>=$K34=TODAY()</x:formula>
    </x:cfRule>
  </x:conditionalFormatting>
  <x:conditionalFormatting sqref="M34:N39">
    <x:cfRule type="expression" dxfId="0" priority="208">
      <x:formula>=$M34=""</x:formula>
    </x:cfRule>
    <x:cfRule type="expression" dxfId="1" priority="209">
      <x:formula>=AND($M34&lt;&gt;"",WEEKDAY($M34,2)&gt;=6)</x:formula>
    </x:cfRule>
    <x:cfRule type="expression" dxfId="2" priority="210">
      <x:formula>=$M34=TODAY()</x:formula>
    </x:cfRule>
  </x:conditionalFormatting>
  <x:conditionalFormatting sqref="P34:Q39">
    <x:cfRule type="expression" dxfId="0" priority="211">
      <x:formula>=$P34=""</x:formula>
    </x:cfRule>
    <x:cfRule type="expression" dxfId="1" priority="212">
      <x:formula>=AND($P34&lt;&gt;"",WEEKDAY($P34,2)&gt;=6)</x:formula>
    </x:cfRule>
    <x:cfRule type="expression" dxfId="2" priority="213">
      <x:formula>=$P34=TODAY()</x:formula>
    </x:cfRule>
  </x:conditionalFormatting>
  <x:conditionalFormatting sqref="R34:S39">
    <x:cfRule type="expression" dxfId="0" priority="214">
      <x:formula>=$R34=""</x:formula>
    </x:cfRule>
    <x:cfRule type="expression" dxfId="1" priority="215">
      <x:formula>=AND($R34&lt;&gt;"",WEEKDAY($R34,2)&gt;=6)</x:formula>
    </x:cfRule>
    <x:cfRule type="expression" dxfId="2" priority="216">
      <x:formula>=$R34=TODAY()</x:formula>
    </x:cfRule>
  </x:conditionalFormatting>
  <x:conditionalFormatting sqref="T34:U39">
    <x:cfRule type="expression" dxfId="0" priority="217">
      <x:formula>=$T34=""</x:formula>
    </x:cfRule>
    <x:cfRule type="expression" dxfId="1" priority="218">
      <x:formula>=AND($T34&lt;&gt;"",WEEKDAY($T34,2)&gt;=6)</x:formula>
    </x:cfRule>
    <x:cfRule type="expression" dxfId="2" priority="219">
      <x:formula>=$T34=TODAY()</x:formula>
    </x:cfRule>
  </x:conditionalFormatting>
  <x:conditionalFormatting sqref="V34:W39">
    <x:cfRule type="expression" dxfId="0" priority="220">
      <x:formula>=$V34=""</x:formula>
    </x:cfRule>
    <x:cfRule type="expression" dxfId="1" priority="221">
      <x:formula>=AND($V34&lt;&gt;"",WEEKDAY($V34,2)&gt;=6)</x:formula>
    </x:cfRule>
    <x:cfRule type="expression" dxfId="2" priority="222">
      <x:formula>=$V34=TODAY()</x:formula>
    </x:cfRule>
  </x:conditionalFormatting>
  <x:conditionalFormatting sqref="X34:Y39">
    <x:cfRule type="expression" dxfId="0" priority="223">
      <x:formula>=$X34=""</x:formula>
    </x:cfRule>
    <x:cfRule type="expression" dxfId="1" priority="224">
      <x:formula>=AND($X34&lt;&gt;"",WEEKDAY($X34,2)&gt;=6)</x:formula>
    </x:cfRule>
    <x:cfRule type="expression" dxfId="2" priority="225">
      <x:formula>=$X34=TODAY()</x:formula>
    </x:cfRule>
  </x:conditionalFormatting>
  <x:conditionalFormatting sqref="Z34:AA39">
    <x:cfRule type="expression" dxfId="0" priority="226">
      <x:formula>=$Z34=""</x:formula>
    </x:cfRule>
    <x:cfRule type="expression" dxfId="1" priority="227">
      <x:formula>=AND($Z34&lt;&gt;"",WEEKDAY($Z34,2)&gt;=6)</x:formula>
    </x:cfRule>
    <x:cfRule type="expression" dxfId="2" priority="228">
      <x:formula>=$Z34=TODAY()</x:formula>
    </x:cfRule>
  </x:conditionalFormatting>
  <x:conditionalFormatting sqref="AB34:AC39">
    <x:cfRule type="expression" dxfId="0" priority="229">
      <x:formula>=$AB34=""</x:formula>
    </x:cfRule>
    <x:cfRule type="expression" dxfId="1" priority="230">
      <x:formula>=AND($AB34&lt;&gt;"",WEEKDAY($AB34,2)&gt;=6)</x:formula>
    </x:cfRule>
    <x:cfRule type="expression" dxfId="2" priority="231">
      <x:formula>=$AB34=TODAY()</x:formula>
    </x:cfRule>
  </x:conditionalFormatting>
  <x:conditionalFormatting sqref="AE34:AF39">
    <x:cfRule type="expression" dxfId="0" priority="232">
      <x:formula>=$AE34=""</x:formula>
    </x:cfRule>
    <x:cfRule type="expression" dxfId="1" priority="233">
      <x:formula>=AND($AE34&lt;&gt;"",WEEKDAY($AE34,2)&gt;=6)</x:formula>
    </x:cfRule>
    <x:cfRule type="expression" dxfId="2" priority="234">
      <x:formula>=$AE34=TODAY()</x:formula>
    </x:cfRule>
  </x:conditionalFormatting>
  <x:conditionalFormatting sqref="AG34:AH39">
    <x:cfRule type="expression" dxfId="0" priority="235">
      <x:formula>=$AG34=""</x:formula>
    </x:cfRule>
    <x:cfRule type="expression" dxfId="1" priority="236">
      <x:formula>=AND($AG34&lt;&gt;"",WEEKDAY($AG34,2)&gt;=6)</x:formula>
    </x:cfRule>
    <x:cfRule type="expression" dxfId="2" priority="237">
      <x:formula>=$AG34=TODAY()</x:formula>
    </x:cfRule>
  </x:conditionalFormatting>
  <x:conditionalFormatting sqref="AI34:AJ39">
    <x:cfRule type="expression" dxfId="0" priority="238">
      <x:formula>=$AI34=""</x:formula>
    </x:cfRule>
    <x:cfRule type="expression" dxfId="1" priority="239">
      <x:formula>=AND($AI34&lt;&gt;"",WEEKDAY($AI34,2)&gt;=6)</x:formula>
    </x:cfRule>
    <x:cfRule type="expression" dxfId="2" priority="240">
      <x:formula>=$AI34=TODAY()</x:formula>
    </x:cfRule>
  </x:conditionalFormatting>
  <x:conditionalFormatting sqref="AK34:AL39">
    <x:cfRule type="expression" dxfId="0" priority="241">
      <x:formula>=$AK34=""</x:formula>
    </x:cfRule>
    <x:cfRule type="expression" dxfId="1" priority="242">
      <x:formula>=AND($AK34&lt;&gt;"",WEEKDAY($AK34,2)&gt;=6)</x:formula>
    </x:cfRule>
    <x:cfRule type="expression" dxfId="2" priority="243">
      <x:formula>=$AK34=TODAY()</x:formula>
    </x:cfRule>
  </x:conditionalFormatting>
  <x:conditionalFormatting sqref="AM34:AN39">
    <x:cfRule type="expression" dxfId="0" priority="244">
      <x:formula>=$AM34=""</x:formula>
    </x:cfRule>
    <x:cfRule type="expression" dxfId="1" priority="245">
      <x:formula>=AND($AM34&lt;&gt;"",WEEKDAY($AM34,2)&gt;=6)</x:formula>
    </x:cfRule>
    <x:cfRule type="expression" dxfId="2" priority="246">
      <x:formula>=$AM34=TODAY()</x:formula>
    </x:cfRule>
  </x:conditionalFormatting>
  <x:conditionalFormatting sqref="AO34:AP39">
    <x:cfRule type="expression" dxfId="0" priority="247">
      <x:formula>=$AO34=""</x:formula>
    </x:cfRule>
    <x:cfRule type="expression" dxfId="1" priority="248">
      <x:formula>=AND($AO34&lt;&gt;"",WEEKDAY($AO34,2)&gt;=6)</x:formula>
    </x:cfRule>
    <x:cfRule type="expression" dxfId="2" priority="249">
      <x:formula>=$AO34=TODAY()</x:formula>
    </x:cfRule>
  </x:conditionalFormatting>
  <x:conditionalFormatting sqref="AQ34:AR39">
    <x:cfRule type="expression" dxfId="0" priority="250">
      <x:formula>=$AQ34=""</x:formula>
    </x:cfRule>
    <x:cfRule type="expression" dxfId="1" priority="251">
      <x:formula>=AND($AQ34&lt;&gt;"",WEEKDAY($AQ34,2)&gt;=6)</x:formula>
    </x:cfRule>
    <x:cfRule type="expression" dxfId="2" priority="252">
      <x:formula>=$AQ34=TODAY()</x:formula>
    </x:cfRule>
  </x:conditionalFormatting>
  <x:dataValidations count="1">
    <x:dataValidation type="whole" operator="between" allowBlank="0" showDropDown="0" showInputMessage="0" showErrorMessage="0" errorTitle="Ungültiges Jahr" error="Bitte nur ganze Jahre zwischen 1900 und 9999 verwenden." promptTitle="Jahr eingeben" prompt="Bitte eine Jahreszahl zwischen 1900 und 9999 eingeben." sqref="B2">
      <x:formula1>1900</x:formula1>
      <x:formula2>9999</x:formula2>
    </x:dataValidation>
  </x:dataValidations>
  <x:pageMargins left="0.7" right="0.7" top="0.75" bottom="0.75" header="0.3" footer="0.3"/>
</x:worksheet>
</file>