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nerador\"/>
    </mc:Choice>
  </mc:AlternateContent>
  <xr:revisionPtr revIDLastSave="0" documentId="8_{003214A7-6ED9-4782-8B5B-D099ED3089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Wochenplan" sheetId="2" r:id="rId2"/>
    <sheet name="Monatsplan" sheetId="3" r:id="rId3"/>
    <sheet name="Mitarbeiter" sheetId="4" r:id="rId4"/>
    <sheet name="Listen" sheetId="5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4" l="1"/>
  <c r="E26" i="4"/>
  <c r="E25" i="4"/>
  <c r="E24" i="4"/>
  <c r="E23" i="4"/>
  <c r="E17" i="4"/>
  <c r="E16" i="4"/>
  <c r="E15" i="4"/>
  <c r="A24" i="1" s="1"/>
  <c r="E14" i="4"/>
  <c r="E13" i="4"/>
  <c r="E12" i="4"/>
  <c r="A21" i="1" s="1"/>
  <c r="E11" i="4"/>
  <c r="A20" i="1" s="1"/>
  <c r="E10" i="4"/>
  <c r="E9" i="4"/>
  <c r="E8" i="4"/>
  <c r="AI14" i="3" s="1"/>
  <c r="AJ14" i="3" s="1"/>
  <c r="AM14" i="3" s="1"/>
  <c r="AL17" i="3"/>
  <c r="AK17" i="3"/>
  <c r="AI17" i="3"/>
  <c r="AJ17" i="3" s="1"/>
  <c r="AM17" i="3" s="1"/>
  <c r="AH17" i="3"/>
  <c r="AL16" i="3"/>
  <c r="AK16" i="3"/>
  <c r="AH16" i="3"/>
  <c r="AL15" i="3"/>
  <c r="AK15" i="3"/>
  <c r="AH15" i="3"/>
  <c r="B15" i="3"/>
  <c r="AL14" i="3"/>
  <c r="AK14" i="3"/>
  <c r="AH14" i="3"/>
  <c r="AL13" i="3"/>
  <c r="AK13" i="3"/>
  <c r="AH13" i="3"/>
  <c r="AL12" i="3"/>
  <c r="AK12" i="3"/>
  <c r="AH12" i="3"/>
  <c r="B12" i="3"/>
  <c r="AL11" i="3"/>
  <c r="AK11" i="3"/>
  <c r="AH11" i="3"/>
  <c r="AL10" i="3"/>
  <c r="AK10" i="3"/>
  <c r="AH10" i="3"/>
  <c r="AL9" i="3"/>
  <c r="AK9" i="3"/>
  <c r="AI9" i="3"/>
  <c r="AH9" i="3"/>
  <c r="AJ9" i="3" s="1"/>
  <c r="AM9" i="3" s="1"/>
  <c r="B9" i="3"/>
  <c r="AL8" i="3"/>
  <c r="AK8" i="3"/>
  <c r="AH8" i="3"/>
  <c r="B4" i="3"/>
  <c r="B3" i="3"/>
  <c r="J19" i="2"/>
  <c r="K18" i="2"/>
  <c r="J18" i="2"/>
  <c r="L18" i="2" s="1"/>
  <c r="M18" i="2" s="1"/>
  <c r="B18" i="2"/>
  <c r="K17" i="2"/>
  <c r="L17" i="2" s="1"/>
  <c r="M17" i="2" s="1"/>
  <c r="J17" i="2"/>
  <c r="U16" i="2"/>
  <c r="T16" i="2"/>
  <c r="S16" i="2"/>
  <c r="R16" i="2"/>
  <c r="Q16" i="2"/>
  <c r="V16" i="2" s="1"/>
  <c r="J16" i="2"/>
  <c r="U15" i="2"/>
  <c r="T15" i="2"/>
  <c r="S15" i="2"/>
  <c r="R15" i="2"/>
  <c r="Q15" i="2"/>
  <c r="V15" i="2" s="1"/>
  <c r="J15" i="2"/>
  <c r="U14" i="2"/>
  <c r="T14" i="2"/>
  <c r="S14" i="2"/>
  <c r="R14" i="2"/>
  <c r="Q14" i="2"/>
  <c r="V14" i="2" s="1"/>
  <c r="J14" i="2"/>
  <c r="U13" i="2"/>
  <c r="T13" i="2"/>
  <c r="S13" i="2"/>
  <c r="R13" i="2"/>
  <c r="V13" i="2" s="1"/>
  <c r="Q13" i="2"/>
  <c r="J13" i="2"/>
  <c r="U12" i="2"/>
  <c r="T12" i="2"/>
  <c r="S12" i="2"/>
  <c r="R12" i="2"/>
  <c r="Q12" i="2"/>
  <c r="V12" i="2" s="1"/>
  <c r="K12" i="2"/>
  <c r="J12" i="2"/>
  <c r="L12" i="2" s="1"/>
  <c r="M12" i="2" s="1"/>
  <c r="B12" i="2"/>
  <c r="U11" i="2"/>
  <c r="T11" i="2"/>
  <c r="V11" i="2" s="1"/>
  <c r="S11" i="2"/>
  <c r="R11" i="2"/>
  <c r="Q11" i="2"/>
  <c r="J11" i="2"/>
  <c r="U10" i="2"/>
  <c r="T10" i="2"/>
  <c r="S10" i="2"/>
  <c r="R10" i="2"/>
  <c r="Q10" i="2"/>
  <c r="V10" i="2" s="1"/>
  <c r="K10" i="2"/>
  <c r="J10" i="2"/>
  <c r="L10" i="2" s="1"/>
  <c r="M10" i="2" s="1"/>
  <c r="B10" i="2"/>
  <c r="B5" i="2"/>
  <c r="A26" i="1"/>
  <c r="B26" i="1" s="1"/>
  <c r="AD25" i="1"/>
  <c r="AA25" i="1"/>
  <c r="A25" i="1"/>
  <c r="I25" i="1" s="1"/>
  <c r="A23" i="1"/>
  <c r="G23" i="1" s="1"/>
  <c r="A22" i="1"/>
  <c r="C22" i="1" s="1"/>
  <c r="A19" i="1"/>
  <c r="C19" i="1" s="1"/>
  <c r="A18" i="1"/>
  <c r="C18" i="1" s="1"/>
  <c r="E4" i="1"/>
  <c r="I21" i="1" l="1"/>
  <c r="C21" i="1"/>
  <c r="AD21" i="1"/>
  <c r="G21" i="1"/>
  <c r="B21" i="1"/>
  <c r="F21" i="1"/>
  <c r="D21" i="1"/>
  <c r="AA21" i="1"/>
  <c r="AD24" i="1"/>
  <c r="D24" i="1"/>
  <c r="C24" i="1"/>
  <c r="B24" i="1"/>
  <c r="AA24" i="1"/>
  <c r="F24" i="1"/>
  <c r="I24" i="1"/>
  <c r="G24" i="1"/>
  <c r="L14" i="2"/>
  <c r="M14" i="2" s="1"/>
  <c r="AJ13" i="3"/>
  <c r="AM13" i="3" s="1"/>
  <c r="D20" i="1"/>
  <c r="C20" i="1"/>
  <c r="B20" i="1"/>
  <c r="AD20" i="1"/>
  <c r="AA20" i="1"/>
  <c r="F20" i="1"/>
  <c r="I20" i="1"/>
  <c r="G20" i="1"/>
  <c r="AJ10" i="3"/>
  <c r="AM10" i="3" s="1"/>
  <c r="AJ16" i="3"/>
  <c r="AM16" i="3" s="1"/>
  <c r="L19" i="2"/>
  <c r="M19" i="2" s="1"/>
  <c r="L16" i="2"/>
  <c r="M16" i="2" s="1"/>
  <c r="B23" i="1"/>
  <c r="D19" i="1"/>
  <c r="D23" i="1"/>
  <c r="AI15" i="3"/>
  <c r="AJ15" i="3" s="1"/>
  <c r="AM15" i="3" s="1"/>
  <c r="F18" i="1"/>
  <c r="C25" i="1"/>
  <c r="I18" i="1"/>
  <c r="AD19" i="1"/>
  <c r="I22" i="1"/>
  <c r="D25" i="1"/>
  <c r="I26" i="1"/>
  <c r="AI16" i="3"/>
  <c r="C23" i="1"/>
  <c r="F19" i="1"/>
  <c r="F23" i="1"/>
  <c r="B14" i="2"/>
  <c r="I23" i="1"/>
  <c r="B19" i="2"/>
  <c r="A17" i="1"/>
  <c r="F22" i="1"/>
  <c r="F26" i="1"/>
  <c r="AA19" i="1"/>
  <c r="AD23" i="1"/>
  <c r="K11" i="2"/>
  <c r="L11" i="2" s="1"/>
  <c r="M11" i="2" s="1"/>
  <c r="B13" i="2"/>
  <c r="B10" i="3"/>
  <c r="K19" i="2"/>
  <c r="AA23" i="1"/>
  <c r="AI10" i="3"/>
  <c r="B11" i="2"/>
  <c r="AI13" i="3"/>
  <c r="F25" i="1"/>
  <c r="B8" i="3"/>
  <c r="B18" i="1"/>
  <c r="K16" i="2"/>
  <c r="G18" i="1"/>
  <c r="G22" i="1"/>
  <c r="B25" i="1"/>
  <c r="B16" i="3"/>
  <c r="AA22" i="1"/>
  <c r="G25" i="1"/>
  <c r="AA26" i="1"/>
  <c r="K13" i="2"/>
  <c r="L13" i="2" s="1"/>
  <c r="M13" i="2" s="1"/>
  <c r="B15" i="2"/>
  <c r="B11" i="3"/>
  <c r="B19" i="1"/>
  <c r="D18" i="1"/>
  <c r="I19" i="1"/>
  <c r="D26" i="1"/>
  <c r="AI8" i="3"/>
  <c r="AJ8" i="3" s="1"/>
  <c r="AM8" i="3" s="1"/>
  <c r="B14" i="3"/>
  <c r="G19" i="1"/>
  <c r="C26" i="1"/>
  <c r="B16" i="2"/>
  <c r="D22" i="1"/>
  <c r="B13" i="3"/>
  <c r="G26" i="1"/>
  <c r="AA18" i="1"/>
  <c r="AD18" i="1"/>
  <c r="AD22" i="1"/>
  <c r="AD26" i="1"/>
  <c r="K15" i="2"/>
  <c r="L15" i="2" s="1"/>
  <c r="M15" i="2" s="1"/>
  <c r="B17" i="2"/>
  <c r="AI11" i="3"/>
  <c r="AJ11" i="3" s="1"/>
  <c r="AM11" i="3" s="1"/>
  <c r="B17" i="3"/>
  <c r="AI12" i="3"/>
  <c r="AJ12" i="3" s="1"/>
  <c r="AM12" i="3" s="1"/>
  <c r="B22" i="1"/>
  <c r="K14" i="2"/>
  <c r="AB23" i="1" l="1"/>
  <c r="J23" i="1"/>
  <c r="AE23" i="1" s="1"/>
  <c r="E23" i="1"/>
  <c r="AD17" i="1"/>
  <c r="I17" i="1"/>
  <c r="B17" i="1"/>
  <c r="G17" i="1"/>
  <c r="C17" i="1"/>
  <c r="E6" i="1" s="1"/>
  <c r="F17" i="1"/>
  <c r="E9" i="1" s="1"/>
  <c r="D17" i="1"/>
  <c r="AA17" i="1"/>
  <c r="E24" i="1"/>
  <c r="AB24" i="1"/>
  <c r="J24" i="1"/>
  <c r="AE24" i="1" s="1"/>
  <c r="AB22" i="1"/>
  <c r="E22" i="1"/>
  <c r="J22" i="1"/>
  <c r="AE22" i="1" s="1"/>
  <c r="J21" i="1"/>
  <c r="AE21" i="1" s="1"/>
  <c r="E21" i="1"/>
  <c r="AB21" i="1"/>
  <c r="J19" i="1"/>
  <c r="AE19" i="1" s="1"/>
  <c r="AB19" i="1"/>
  <c r="E19" i="1"/>
  <c r="J25" i="1"/>
  <c r="AE25" i="1" s="1"/>
  <c r="E25" i="1"/>
  <c r="AB25" i="1"/>
  <c r="AB26" i="1"/>
  <c r="E26" i="1"/>
  <c r="J26" i="1"/>
  <c r="AE26" i="1" s="1"/>
  <c r="AB18" i="1"/>
  <c r="E18" i="1"/>
  <c r="J18" i="1"/>
  <c r="AE18" i="1" s="1"/>
  <c r="E20" i="1"/>
  <c r="AB20" i="1"/>
  <c r="J20" i="1"/>
  <c r="AE20" i="1" s="1"/>
  <c r="H18" i="1" l="1"/>
  <c r="K18" i="1"/>
  <c r="J17" i="1"/>
  <c r="AB17" i="1"/>
  <c r="E5" i="1"/>
  <c r="E7" i="1" s="1"/>
  <c r="E17" i="1"/>
  <c r="H26" i="1"/>
  <c r="K26" i="1"/>
  <c r="K21" i="1"/>
  <c r="H21" i="1"/>
  <c r="H22" i="1"/>
  <c r="K22" i="1"/>
  <c r="K20" i="1"/>
  <c r="H20" i="1"/>
  <c r="K24" i="1"/>
  <c r="H24" i="1"/>
  <c r="H25" i="1"/>
  <c r="K25" i="1"/>
  <c r="H19" i="1"/>
  <c r="K19" i="1"/>
  <c r="K23" i="1"/>
  <c r="H23" i="1"/>
  <c r="H17" i="1" l="1"/>
  <c r="E8" i="1" s="1"/>
  <c r="K17" i="1"/>
  <c r="E10" i="1"/>
  <c r="E11" i="1" s="1"/>
  <c r="E12" i="1" s="1"/>
  <c r="AE17" i="1"/>
</calcChain>
</file>

<file path=xl/sharedStrings.xml><?xml version="1.0" encoding="utf-8"?>
<sst xmlns="http://schemas.openxmlformats.org/spreadsheetml/2006/main" count="868" uniqueCount="251">
  <si>
    <t>Arbeitsplan Excel – Übersicht</t>
  </si>
  <si>
    <t>Unternehmen</t>
  </si>
  <si>
    <t>Bäckerei Nord GmbH</t>
  </si>
  <si>
    <t>Kennzahlen</t>
  </si>
  <si>
    <t>Kurzanleitung</t>
  </si>
  <si>
    <t>Abteilung / Standort</t>
  </si>
  <si>
    <t>Filiale Oldenburg</t>
  </si>
  <si>
    <t>Anzahl Mitarbeiter</t>
  </si>
  <si>
    <t>1. Mitarbeiter in der Tabelle „Mitarbeiter“ eintragen.</t>
  </si>
  <si>
    <t>Planungsmonat</t>
  </si>
  <si>
    <t>Mai</t>
  </si>
  <si>
    <t>Geplante Stunden</t>
  </si>
  <si>
    <t>2. Schichtarten bei Bedarf in „Listen“ anpassen.</t>
  </si>
  <si>
    <t>Kalenderjahr</t>
  </si>
  <si>
    <t>Soll-Stunden</t>
  </si>
  <si>
    <t>3. Woche im „Wochenplan“ auswählen und Schichten per Dropdown planen.</t>
  </si>
  <si>
    <t>Verantwortlich</t>
  </si>
  <si>
    <t>Lea Hofmann</t>
  </si>
  <si>
    <t>Differenz Stunden</t>
  </si>
  <si>
    <t>4. Monat im „Monatsplan“ auswählen und Schichten eintragen.</t>
  </si>
  <si>
    <t>Wochenarbeitszeit Standard</t>
  </si>
  <si>
    <t>Überstunden</t>
  </si>
  <si>
    <t>5. Übersicht prüfen: Stunden, Abwesenheiten, Kosten und Warnhinweise werden automatisch aktualisiert.</t>
  </si>
  <si>
    <t>Standard-Stundenlohn</t>
  </si>
  <si>
    <t>Abwesenheitstage</t>
  </si>
  <si>
    <t>Budget Personalkosten</t>
  </si>
  <si>
    <t>Geschätzte Personalkosten</t>
  </si>
  <si>
    <t>Erstellt am</t>
  </si>
  <si>
    <t>Budgetabweichung</t>
  </si>
  <si>
    <t>Letzte Aktualisierung</t>
  </si>
  <si>
    <t>Status</t>
  </si>
  <si>
    <t>Zusammenfassung je Mitarbeiter</t>
  </si>
  <si>
    <t>Mitarbeiter</t>
  </si>
  <si>
    <t>Rolle</t>
  </si>
  <si>
    <t>Differenz</t>
  </si>
  <si>
    <t>Urlaub</t>
  </si>
  <si>
    <t>Krankheit</t>
  </si>
  <si>
    <t>Stundenlohn</t>
  </si>
  <si>
    <t>Geschätzte Kosten</t>
  </si>
  <si>
    <t>Arbeitsplan – Wochenplan</t>
  </si>
  <si>
    <t>Kalenderwoche</t>
  </si>
  <si>
    <t>Standort</t>
  </si>
  <si>
    <t>Oldenburg</t>
  </si>
  <si>
    <t>Startdatum der Woche</t>
  </si>
  <si>
    <t>Min. F</t>
  </si>
  <si>
    <t>Enddatum der Woche</t>
  </si>
  <si>
    <t>Min. S</t>
  </si>
  <si>
    <t>Min. N</t>
  </si>
  <si>
    <t>Min. T</t>
  </si>
  <si>
    <t>Besetzung je Tag</t>
  </si>
  <si>
    <t>Montag</t>
  </si>
  <si>
    <t>Dienstag</t>
  </si>
  <si>
    <t>Mittwoch</t>
  </si>
  <si>
    <t>Donnerstag</t>
  </si>
  <si>
    <t>Freitag</t>
  </si>
  <si>
    <t>Samstag</t>
  </si>
  <si>
    <t>Sonntag</t>
  </si>
  <si>
    <t>Wochenstunden</t>
  </si>
  <si>
    <t>Bemerkungen</t>
  </si>
  <si>
    <t>Tag</t>
  </si>
  <si>
    <t>Frühschicht</t>
  </si>
  <si>
    <t>Spätschicht</t>
  </si>
  <si>
    <t>Nachtschicht</t>
  </si>
  <si>
    <t>Tagschicht</t>
  </si>
  <si>
    <t>Mindestbesetzung</t>
  </si>
  <si>
    <t>Anna Müller</t>
  </si>
  <si>
    <t>F</t>
  </si>
  <si>
    <t>Frei</t>
  </si>
  <si>
    <t>Ben Schneider</t>
  </si>
  <si>
    <t>S</t>
  </si>
  <si>
    <t>Clara Fischer</t>
  </si>
  <si>
    <t>T</t>
  </si>
  <si>
    <t>U</t>
  </si>
  <si>
    <t>David Weber</t>
  </si>
  <si>
    <t>Emma Hoffmann</t>
  </si>
  <si>
    <t>K</t>
  </si>
  <si>
    <t>Felix Wagner</t>
  </si>
  <si>
    <t>Greta Becker</t>
  </si>
  <si>
    <t>Hasan Kaya</t>
  </si>
  <si>
    <t>Laura Schmidt</t>
  </si>
  <si>
    <t>Sofia Klein</t>
  </si>
  <si>
    <t>Arbeitsplan – Monatsplan</t>
  </si>
  <si>
    <t>Monat</t>
  </si>
  <si>
    <t>Standort / Abteilung</t>
  </si>
  <si>
    <t>Jahr</t>
  </si>
  <si>
    <t>Monatsstunden</t>
  </si>
  <si>
    <t>Soll-Stunden Monat</t>
  </si>
  <si>
    <t>Urlaubstage</t>
  </si>
  <si>
    <t>Krankheitstage</t>
  </si>
  <si>
    <t>Mitarbeiter und Abwesenheiten</t>
  </si>
  <si>
    <t>Mitarbeiterstammdaten</t>
  </si>
  <si>
    <t>Aktiv</t>
  </si>
  <si>
    <t>Mitarbeiter-ID</t>
  </si>
  <si>
    <t>Vorname</t>
  </si>
  <si>
    <t>Nachname</t>
  </si>
  <si>
    <t>Abteilung</t>
  </si>
  <si>
    <t>Vertragsart</t>
  </si>
  <si>
    <t>Wochenstunden Soll</t>
  </si>
  <si>
    <t>Monatsstunden Soll</t>
  </si>
  <si>
    <t>Eintrittsdatum</t>
  </si>
  <si>
    <t>Austrittsdatum</t>
  </si>
  <si>
    <t>E-Mail</t>
  </si>
  <si>
    <t>Telefon</t>
  </si>
  <si>
    <t>Ja</t>
  </si>
  <si>
    <t>MA-001</t>
  </si>
  <si>
    <t>Anna</t>
  </si>
  <si>
    <t>Müller</t>
  </si>
  <si>
    <t>Filialleitung</t>
  </si>
  <si>
    <t>Vollzeit</t>
  </si>
  <si>
    <t>anna.mueller@example.de</t>
  </si>
  <si>
    <t>+49 441 100001</t>
  </si>
  <si>
    <t>MA-002</t>
  </si>
  <si>
    <t>Ben</t>
  </si>
  <si>
    <t>Schneider</t>
  </si>
  <si>
    <t>Schichtleitung</t>
  </si>
  <si>
    <t>ben.schneider@example.de</t>
  </si>
  <si>
    <t>+49 441 100002</t>
  </si>
  <si>
    <t>MA-003</t>
  </si>
  <si>
    <t>Clara</t>
  </si>
  <si>
    <t>Fischer</t>
  </si>
  <si>
    <t>Verkauf</t>
  </si>
  <si>
    <t>Teilzeit</t>
  </si>
  <si>
    <t>clara.fischer@example.de</t>
  </si>
  <si>
    <t>+49 441 100003</t>
  </si>
  <si>
    <t>MA-004</t>
  </si>
  <si>
    <t>David</t>
  </si>
  <si>
    <t>Weber</t>
  </si>
  <si>
    <t>Küche</t>
  </si>
  <si>
    <t>david.weber@example.de</t>
  </si>
  <si>
    <t>+49 441 100004</t>
  </si>
  <si>
    <t>MA-005</t>
  </si>
  <si>
    <t>Emma</t>
  </si>
  <si>
    <t>Hoffmann</t>
  </si>
  <si>
    <t>Service</t>
  </si>
  <si>
    <t>emma.hoffmann@example.de</t>
  </si>
  <si>
    <t>+49 441 100005</t>
  </si>
  <si>
    <t>MA-006</t>
  </si>
  <si>
    <t>Felix</t>
  </si>
  <si>
    <t>Wagner</t>
  </si>
  <si>
    <t>Lager</t>
  </si>
  <si>
    <t>Minijob</t>
  </si>
  <si>
    <t>felix.wagner@example.de</t>
  </si>
  <si>
    <t>+49 441 100006</t>
  </si>
  <si>
    <t>MA-007</t>
  </si>
  <si>
    <t>Greta</t>
  </si>
  <si>
    <t>Becker</t>
  </si>
  <si>
    <t>Werkstudent</t>
  </si>
  <si>
    <t>greta.becker@example.de</t>
  </si>
  <si>
    <t>+49 441 100007</t>
  </si>
  <si>
    <t>MA-008</t>
  </si>
  <si>
    <t>Hasan</t>
  </si>
  <si>
    <t>Kaya</t>
  </si>
  <si>
    <t>hasan.kaya@example.de</t>
  </si>
  <si>
    <t>+49 441 100008</t>
  </si>
  <si>
    <t>MA-009</t>
  </si>
  <si>
    <t>Laura</t>
  </si>
  <si>
    <t>Schmidt</t>
  </si>
  <si>
    <t>laura.schmidt@example.de</t>
  </si>
  <si>
    <t>+49 441 100009</t>
  </si>
  <si>
    <t>MA-010</t>
  </si>
  <si>
    <t>Sofia</t>
  </si>
  <si>
    <t>Klein</t>
  </si>
  <si>
    <t>Aushilfe</t>
  </si>
  <si>
    <t>sofia.klein@example.de</t>
  </si>
  <si>
    <t>+49 441 100010</t>
  </si>
  <si>
    <t>Abwesenheiten</t>
  </si>
  <si>
    <t>Art</t>
  </si>
  <si>
    <t>Von</t>
  </si>
  <si>
    <t>Bis</t>
  </si>
  <si>
    <t>Tage</t>
  </si>
  <si>
    <t>Genehmigt</t>
  </si>
  <si>
    <t>Sommerurlaub</t>
  </si>
  <si>
    <t>Fortbildung</t>
  </si>
  <si>
    <t>Lagersicherheit</t>
  </si>
  <si>
    <t>Geplant</t>
  </si>
  <si>
    <t>Beispieldaten</t>
  </si>
  <si>
    <t>Beantragt</t>
  </si>
  <si>
    <t>Sonderurlaub</t>
  </si>
  <si>
    <t>Listen für Dropdowns und Berechnungen</t>
  </si>
  <si>
    <t>Kürzel</t>
  </si>
  <si>
    <t>Schichtname</t>
  </si>
  <si>
    <t>Beginn</t>
  </si>
  <si>
    <t>Ende</t>
  </si>
  <si>
    <t>Stunden</t>
  </si>
  <si>
    <t>Hinweis</t>
  </si>
  <si>
    <t>Rollen</t>
  </si>
  <si>
    <t>Vertragsarten</t>
  </si>
  <si>
    <t>Abwesenheitsarten</t>
  </si>
  <si>
    <t>Statuswerte</t>
  </si>
  <si>
    <t>Monate</t>
  </si>
  <si>
    <t>06:00</t>
  </si>
  <si>
    <t>14:00</t>
  </si>
  <si>
    <t>reguläre Schicht</t>
  </si>
  <si>
    <t>OK</t>
  </si>
  <si>
    <t>Januar</t>
  </si>
  <si>
    <t>22:00</t>
  </si>
  <si>
    <t>Prüfen</t>
  </si>
  <si>
    <t>Februar</t>
  </si>
  <si>
    <t>N</t>
  </si>
  <si>
    <t>Kritisch</t>
  </si>
  <si>
    <t>März</t>
  </si>
  <si>
    <t>08:00</t>
  </si>
  <si>
    <t>16:00</t>
  </si>
  <si>
    <t>Unter Soll</t>
  </si>
  <si>
    <t>April</t>
  </si>
  <si>
    <t>Abwesenheit</t>
  </si>
  <si>
    <t>Unbezahlt</t>
  </si>
  <si>
    <t>Pflegekraft</t>
  </si>
  <si>
    <t>Unterbesetzt</t>
  </si>
  <si>
    <t>Juni</t>
  </si>
  <si>
    <t>arbeitsfrei</t>
  </si>
  <si>
    <t>Verwaltung</t>
  </si>
  <si>
    <t>Juli</t>
  </si>
  <si>
    <t>August</t>
  </si>
  <si>
    <t>September</t>
  </si>
  <si>
    <t>Abgelehnt</t>
  </si>
  <si>
    <t>Oktober</t>
  </si>
  <si>
    <t>November</t>
  </si>
  <si>
    <t>Dezember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</si>
  <si>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</si>
  <si>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</si>
  <si>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</si>
  <si>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</si>
  <si>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</si>
  <si>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</si>
  <si>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</si>
  <si>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</si>
  <si>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</si>
  <si>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</si>
  <si>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</si>
  <si>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</si>
  <si>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</si>
  <si>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</si>
  <si>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</si>
  <si>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</si>
  <si>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</si>
  <si>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</si>
  <si>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</si>
  <si>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</si>
  <si>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</si>
  <si>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</si>
  <si>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</si>
  <si>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</si>
  <si>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</si>
  <si>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</si>
  <si>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</si>
  <si>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</si>
  <si>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</si>
  <si>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</si>
  <si>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</si>
  <si>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Dienstplan Excel – Übersicht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</si>
</sst>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#,##0.00\ \€"/>
    <numFmt numFmtId="166" formatCode="dd\.mm\.yyyy"/>
    <numFmt numFmtId="167" formatCode="yyyy\-mm\-dd"/>
    <numFmt numFmtId="168" formatCode="[$-407]dd\.mm\.yyyy"/>
    <numFmt numFmtId="169" formatCode="dd&quot;.&quot;mm&quot;.&quot;yyyy"/>
  </numFmts>
  <fonts count="7" x14ac:knownFonts="1">
    <font>
      <sz val="11"/>
      <name val="Carlito"/>
    </font>
    <font>
      <sz val="10"/>
      <color rgb="FF1A1A1A"/>
      <name val="Aptos"/>
    </font>
    <font>
      <b/>
      <sz val="18"/>
      <color rgb="FF1F415A"/>
      <name val="Aptos"/>
    </font>
    <font>
      <b/>
      <sz val="10"/>
      <color rgb="FFFFFFFF"/>
      <name val="Aptos"/>
    </font>
    <font>
      <b/>
      <sz val="11"/>
      <color rgb="FFFFFFFF"/>
      <name val="Aptos"/>
    </font>
    <font>
      <b/>
      <sz val="10"/>
      <color rgb="FF1F415A"/>
      <name val="Aptos"/>
    </font>
    <font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3F4"/>
      </patternFill>
    </fill>
    <fill>
      <patternFill patternType="solid">
        <fgColor rgb="FFF4F7F8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21">
    <xf numFmtId="0" fontId="0" fillId="0" borderId="0" xfId="0"/>
    <xf numFmtId="0" fontId="1" fillId="0" borderId="0" xfId="1" applyFont="1" applyAlignment="1">
      <alignment vertical="center"/>
    </xf>
    <xf numFmtId="0" fontId="3" fillId="3" borderId="0" xfId="1" applyFont="1" applyFill="1" applyAlignment="1">
      <alignment horizontal="center" vertical="center" wrapText="1"/>
    </xf>
    <xf numFmtId="164" fontId="1" fillId="0" borderId="0" xfId="1" applyNumberFormat="1" applyFont="1" applyAlignment="1">
      <alignment vertical="center"/>
    </xf>
    <xf numFmtId="165" fontId="1" fillId="0" borderId="0" xfId="1" applyNumberFormat="1" applyFont="1" applyAlignment="1">
      <alignment vertical="center"/>
    </xf>
    <xf numFmtId="166" fontId="1" fillId="0" borderId="0" xfId="1" applyNumberFormat="1" applyFont="1" applyAlignment="1">
      <alignment vertical="center"/>
    </xf>
    <xf numFmtId="0" fontId="1" fillId="0" borderId="0" xfId="1" applyFont="1" applyAlignment="1">
      <alignment horizontal="left" vertical="center"/>
    </xf>
    <xf numFmtId="1" fontId="1" fillId="0" borderId="0" xfId="1" applyNumberFormat="1" applyFont="1" applyAlignment="1">
      <alignment vertical="center"/>
    </xf>
    <xf numFmtId="0" fontId="1" fillId="0" borderId="0" xfId="1" applyFont="1" applyAlignment="1">
      <alignment vertical="center" wrapText="1"/>
    </xf>
    <xf numFmtId="0" fontId="5" fillId="5" borderId="0" xfId="1" applyFont="1" applyFill="1" applyAlignment="1">
      <alignment vertical="center"/>
    </xf>
    <xf numFmtId="0" fontId="1" fillId="2" borderId="0" xfId="1" applyFont="1" applyFill="1" applyAlignment="1">
      <alignment vertical="center"/>
    </xf>
    <xf numFmtId="0" fontId="1" fillId="0" borderId="0" xfId="1" applyFont="1" applyAlignment="1">
      <alignment horizontal="center" vertical="center"/>
    </xf>
    <xf numFmtId="165" fontId="1" fillId="2" borderId="0" xfId="1" applyNumberFormat="1" applyFont="1" applyFill="1" applyAlignment="1">
      <alignment vertical="center"/>
    </xf>
    <xf numFmtId="14" fontId="1" fillId="0" borderId="0" xfId="1" applyNumberFormat="1" applyFont="1" applyAlignment="1">
      <alignment vertical="center"/>
    </xf>
    <xf numFmtId="167" fontId="1" fillId="0" borderId="0" xfId="1" applyNumberFormat="1" applyFont="1" applyAlignment="1">
      <alignment vertical="center"/>
    </xf>
    <xf numFmtId="168" fontId="1" fillId="0" borderId="0" xfId="1" applyNumberFormat="1" applyFont="1" applyAlignment="1">
      <alignment vertical="center"/>
    </xf>
    <xf numFmtId="169" fontId="1" fillId="0" borderId="0" xfId="1" applyNumberFormat="1" applyFont="1" applyAlignment="1">
      <alignment vertical="center"/>
    </xf>
    <xf numFmtId="169" fontId="1" fillId="2" borderId="0" xfId="1" applyNumberFormat="1" applyFont="1" applyFill="1" applyAlignment="1">
      <alignment vertical="center"/>
    </xf>
    <xf numFmtId="0" fontId="2" fillId="2" borderId="0" xfId="1" applyFont="1" applyFill="1" applyAlignment="1">
      <alignment vertical="center"/>
    </xf>
    <xf numFmtId="0" fontId="4" fillId="4" borderId="0" xfId="1" applyFont="1" applyFill="1" applyAlignment="1">
      <alignment vertical="center"/>
    </xf>
    <xf numFmtId="0" fontId="1" fillId="6" borderId="0" xfId="1" applyFont="1" applyFill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34"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166534"/>
      </font>
      <fill>
        <patternFill patternType="solid">
          <bgColor rgb="FFD9EAD3"/>
        </patternFill>
      </fill>
    </dxf>
    <dxf>
      <font>
        <color rgb="FF666666"/>
      </font>
      <fill>
        <patternFill>
          <bgColor rgb="FFE7E7E7"/>
        </patternFill>
      </fill>
    </dxf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9A3412"/>
      </font>
      <fill>
        <patternFill patternType="solid">
          <bgColor rgb="FFFCE4D6"/>
        </patternFill>
      </fill>
    </dxf>
    <dxf>
      <font>
        <b/>
        <color rgb="FF166534"/>
      </font>
      <fill>
        <patternFill patternType="solid">
          <bgColor rgb="FFD9EAD3"/>
        </patternFill>
      </fill>
    </dxf>
    <dxf>
      <fill>
        <patternFill>
          <bgColor rgb="FFD9D9D9"/>
        </patternFill>
      </fill>
    </dxf>
    <dxf>
      <fill>
        <patternFill>
          <bgColor rgb="FFF6F6F6"/>
        </patternFill>
      </fill>
    </dxf>
    <dxf>
      <fill>
        <patternFill>
          <bgColor rgb="FFFFFFFF"/>
        </patternFill>
      </fill>
    </dxf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EFEFEF"/>
        </patternFill>
      </fill>
    </dxf>
    <dxf>
      <fill>
        <patternFill>
          <bgColor rgb="FFEADCF8"/>
        </patternFill>
      </fill>
    </dxf>
    <dxf>
      <fill>
        <patternFill>
          <bgColor rgb="FFE2F0D9"/>
        </patternFill>
      </fill>
    </dxf>
    <dxf>
      <fill>
        <patternFill>
          <bgColor rgb="FFDDEBF7"/>
        </patternFill>
      </fill>
    </dxf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166534"/>
      </font>
      <fill>
        <patternFill patternType="solid">
          <bgColor rgb="FFD9EAD3"/>
        </patternFill>
      </fill>
    </dxf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9A3412"/>
      </font>
      <fill>
        <patternFill patternType="solid">
          <bgColor rgb="FFFCE4D6"/>
        </patternFill>
      </fill>
    </dxf>
    <dxf>
      <font>
        <b/>
        <color rgb="FF166534"/>
      </font>
      <fill>
        <patternFill patternType="solid">
          <bgColor rgb="FFD9EAD3"/>
        </patternFill>
      </fill>
    </dxf>
    <dxf>
      <fill>
        <patternFill>
          <bgColor rgb="FFFFFFFF"/>
        </patternFill>
      </fill>
    </dxf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EFEFEF"/>
        </patternFill>
      </fill>
    </dxf>
    <dxf>
      <fill>
        <patternFill>
          <bgColor rgb="FFEADCF8"/>
        </patternFill>
      </fill>
    </dxf>
    <dxf>
      <fill>
        <patternFill>
          <bgColor rgb="FFE2F0D9"/>
        </patternFill>
      </fill>
    </dxf>
    <dxf>
      <fill>
        <patternFill>
          <bgColor rgb="FFDDEBF7"/>
        </patternFill>
      </fill>
    </dxf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9A3412"/>
      </font>
      <fill>
        <patternFill patternType="solid">
          <bgColor rgb="FFFCE4D6"/>
        </patternFill>
      </fill>
    </dxf>
    <dxf>
      <font>
        <b/>
        <color rgb="FF166534"/>
      </font>
      <fill>
        <patternFill patternType="solid">
          <bgColor rgb="FFD9EAD3"/>
        </patternFill>
      </fill>
    </dxf>
    <dxf>
      <font>
        <b/>
        <color rgb="FF991B1B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166534"/>
      </font>
      <fill>
        <patternFill patternType="solid">
          <bgColor rgb="FFD9EAD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Geplante Stunden je Mitarbeiter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Geplante Stunden</c:v>
          </c:tx>
          <c:spPr>
            <a:solidFill>
              <a:srgbClr val="00484E"/>
            </a:solidFill>
          </c:spPr>
          <c:invertIfNegative val="1"/>
          <c:cat>
            <c:strRef>
              <c:f>Übersicht!$AA$17:$AA$26</c:f>
              <c:strCache>
                <c:ptCount val="10"/>
                <c:pt idx="0">
                  <c:v>Anna Müller</c:v>
                </c:pt>
                <c:pt idx="1">
                  <c:v>Ben Schneider</c:v>
                </c:pt>
                <c:pt idx="2">
                  <c:v>Clara Fischer</c:v>
                </c:pt>
                <c:pt idx="3">
                  <c:v>David Weber</c:v>
                </c:pt>
                <c:pt idx="4">
                  <c:v>Emma Hoffmann</c:v>
                </c:pt>
                <c:pt idx="5">
                  <c:v>Felix Wagner</c:v>
                </c:pt>
                <c:pt idx="6">
                  <c:v>Greta Becker</c:v>
                </c:pt>
                <c:pt idx="7">
                  <c:v>Hasan Kaya</c:v>
                </c:pt>
                <c:pt idx="8">
                  <c:v>Laura Schmidt</c:v>
                </c:pt>
                <c:pt idx="9">
                  <c:v>Sofia Klein</c:v>
                </c:pt>
              </c:strCache>
            </c:strRef>
          </c:cat>
          <c:val>
            <c:numRef>
              <c:f>Übersicht!$AB$17:$AB$26</c:f>
              <c:numCache>
                <c:formatCode>0.0</c:formatCode>
                <c:ptCount val="10"/>
                <c:pt idx="0">
                  <c:v>208</c:v>
                </c:pt>
                <c:pt idx="1">
                  <c:v>208</c:v>
                </c:pt>
                <c:pt idx="2">
                  <c:v>96</c:v>
                </c:pt>
                <c:pt idx="3">
                  <c:v>168</c:v>
                </c:pt>
                <c:pt idx="4">
                  <c:v>112</c:v>
                </c:pt>
                <c:pt idx="5">
                  <c:v>104</c:v>
                </c:pt>
                <c:pt idx="6">
                  <c:v>104</c:v>
                </c:pt>
                <c:pt idx="7">
                  <c:v>168</c:v>
                </c:pt>
                <c:pt idx="8">
                  <c:v>168</c:v>
                </c:pt>
                <c:pt idx="9">
                  <c:v>96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1389-4383-892C-4B4109C53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solidFill>
      <a:schemeClr val="accent3"/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Personalkosten je Mitarbeiter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Geschätzte Kosten</c:v>
          </c:tx>
          <c:spPr>
            <a:solidFill>
              <a:srgbClr val="1F415A"/>
            </a:solidFill>
          </c:spPr>
          <c:invertIfNegative val="1"/>
          <c:cat>
            <c:strRef>
              <c:f>Übersicht!$AD$17:$AD$26</c:f>
              <c:strCache>
                <c:ptCount val="10"/>
                <c:pt idx="0">
                  <c:v>Anna Müller</c:v>
                </c:pt>
                <c:pt idx="1">
                  <c:v>Ben Schneider</c:v>
                </c:pt>
                <c:pt idx="2">
                  <c:v>Clara Fischer</c:v>
                </c:pt>
                <c:pt idx="3">
                  <c:v>David Weber</c:v>
                </c:pt>
                <c:pt idx="4">
                  <c:v>Emma Hoffmann</c:v>
                </c:pt>
                <c:pt idx="5">
                  <c:v>Felix Wagner</c:v>
                </c:pt>
                <c:pt idx="6">
                  <c:v>Greta Becker</c:v>
                </c:pt>
                <c:pt idx="7">
                  <c:v>Hasan Kaya</c:v>
                </c:pt>
                <c:pt idx="8">
                  <c:v>Laura Schmidt</c:v>
                </c:pt>
                <c:pt idx="9">
                  <c:v>Sofia Klein</c:v>
                </c:pt>
              </c:strCache>
            </c:strRef>
          </c:cat>
          <c:val>
            <c:numRef>
              <c:f>Übersicht!$AE$17:$AE$26</c:f>
              <c:numCache>
                <c:formatCode>#,##0.00\ \€</c:formatCode>
                <c:ptCount val="10"/>
                <c:pt idx="0">
                  <c:v>4992</c:v>
                </c:pt>
                <c:pt idx="1">
                  <c:v>4160</c:v>
                </c:pt>
                <c:pt idx="2">
                  <c:v>1536</c:v>
                </c:pt>
                <c:pt idx="3">
                  <c:v>3024</c:v>
                </c:pt>
                <c:pt idx="4">
                  <c:v>1848</c:v>
                </c:pt>
                <c:pt idx="5">
                  <c:v>1456</c:v>
                </c:pt>
                <c:pt idx="6">
                  <c:v>1560</c:v>
                </c:pt>
                <c:pt idx="7">
                  <c:v>3108</c:v>
                </c:pt>
                <c:pt idx="8">
                  <c:v>2688</c:v>
                </c:pt>
                <c:pt idx="9">
                  <c:v>1392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7F02-4B13-8285-97B85112D1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#,##0.00\ \€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  <c:dispBlanksAs val="zero"/>
    <c:showDLblsOverMax val="1"/>
  </c:chart>
  <c:spPr>
    <a:solidFill>
      <a:schemeClr val="accent6"/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28</xdr:row>
      <xdr:rowOff>0</xdr:rowOff>
    </xdr:from>
    <xdr:to>
      <xdr:col>4</xdr:col>
      <xdr:colOff>35720</xdr:colOff>
      <xdr:row>45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107156</xdr:colOff>
      <xdr:row>28</xdr:row>
      <xdr:rowOff>0</xdr:rowOff>
    </xdr:from>
    <xdr:to>
      <xdr:col>11</xdr:col>
      <xdr:colOff>0</xdr:colOff>
      <xdr:row>45</xdr:row>
      <xdr:rowOff>0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0000000}" name="tblUebersichtMitarbeiter" displayName="tblUebersichtMitarbeiter" ref="A16:K26">
  <tableColumns count="11">
    <tableColumn id="1" xr3:uid="{00000000-0010-0000-0000-000001000000}" name="Mitarbeiter"/>
    <tableColumn id="2" xr3:uid="{00000000-0010-0000-0000-000002000000}" name="Rolle"/>
    <tableColumn id="3" xr3:uid="{00000000-0010-0000-0000-000003000000}" name="Soll-Stunden"/>
    <tableColumn id="4" xr3:uid="{00000000-0010-0000-0000-000004000000}" name="Geplante Stunden"/>
    <tableColumn id="5" xr3:uid="{00000000-0010-0000-0000-000005000000}" name="Differenz"/>
    <tableColumn id="6" xr3:uid="{00000000-0010-0000-0000-000006000000}" name="Urlaub"/>
    <tableColumn id="7" xr3:uid="{00000000-0010-0000-0000-000007000000}" name="Krankheit"/>
    <tableColumn id="8" xr3:uid="{00000000-0010-0000-0000-000008000000}" name="Überstunden"/>
    <tableColumn id="9" xr3:uid="{00000000-0010-0000-0000-000009000000}" name="Stundenlohn"/>
    <tableColumn id="10" xr3:uid="{00000000-0010-0000-0000-00000A000000}" name="Geschätzte Kosten"/>
    <tableColumn id="11" xr3:uid="{00000000-0010-0000-0000-00000B000000}" name="Statu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1000000}" name="tblWochenplan" displayName="tblWochenplan" ref="A9:N19">
  <tableColumns count="14">
    <tableColumn id="1" xr3:uid="{00000000-0010-0000-0100-000001000000}" name="Mitarbeiter"/>
    <tableColumn id="2" xr3:uid="{00000000-0010-0000-0100-000002000000}" name="Rolle"/>
    <tableColumn id="3" xr3:uid="{00000000-0010-0000-0100-000003000000}" name="Montag"/>
    <tableColumn id="4" xr3:uid="{00000000-0010-0000-0100-000004000000}" name="Dienstag"/>
    <tableColumn id="5" xr3:uid="{00000000-0010-0000-0100-000005000000}" name="Mittwoch"/>
    <tableColumn id="6" xr3:uid="{00000000-0010-0000-0100-000006000000}" name="Donnerstag"/>
    <tableColumn id="7" xr3:uid="{00000000-0010-0000-0100-000007000000}" name="Freitag"/>
    <tableColumn id="8" xr3:uid="{00000000-0010-0000-0100-000008000000}" name="Samstag"/>
    <tableColumn id="9" xr3:uid="{00000000-0010-0000-0100-000009000000}" name="Sonntag"/>
    <tableColumn id="10" xr3:uid="{00000000-0010-0000-0100-00000A000000}" name="Wochenstunden"/>
    <tableColumn id="11" xr3:uid="{00000000-0010-0000-0100-00000B000000}" name="Soll-Stunden"/>
    <tableColumn id="12" xr3:uid="{00000000-0010-0000-0100-00000C000000}" name="Differenz"/>
    <tableColumn id="13" xr3:uid="{00000000-0010-0000-0100-00000D000000}" name="Status"/>
    <tableColumn id="14" xr3:uid="{00000000-0010-0000-0100-00000E000000}" name="Bemerkunge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2000000}" name="tblBesetzungWoche" displayName="tblBesetzungWoche" ref="P9:V16">
  <tableColumns count="7">
    <tableColumn id="1" xr3:uid="{00000000-0010-0000-0200-000001000000}" name="Tag"/>
    <tableColumn id="2" xr3:uid="{00000000-0010-0000-0200-000002000000}" name="Frühschicht"/>
    <tableColumn id="3" xr3:uid="{00000000-0010-0000-0200-000003000000}" name="Spätschicht"/>
    <tableColumn id="4" xr3:uid="{00000000-0010-0000-0200-000004000000}" name="Nachtschicht"/>
    <tableColumn id="5" xr3:uid="{00000000-0010-0000-0200-000005000000}" name="Tagschicht"/>
    <tableColumn id="6" xr3:uid="{00000000-0010-0000-0200-000006000000}" name="Mindestbesetzung"/>
    <tableColumn id="7" xr3:uid="{00000000-0010-0000-0200-000007000000}" name="Statu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3000000}" name="tblMonatsplan" displayName="tblMonatsplan" ref="A7:AM17">
  <tableColumns count="39">
    <tableColumn id="1" xr3:uid="{00000000-0010-0000-0300-000001000000}" name="Mitarbeiter"/>
    <tableColumn id="2" xr3:uid="{00000000-0010-0000-0300-000002000000}" name="Rolle"/>
    <tableColumn id="3" xr3:uid="{00000000-0010-0000-0300-000003000000}" name="1"/>
    <tableColumn id="4" xr3:uid="{00000000-0010-0000-0300-000004000000}" name="2"/>
    <tableColumn id="5" xr3:uid="{00000000-0010-0000-0300-000005000000}" name="3"/>
    <tableColumn id="6" xr3:uid="{00000000-0010-0000-0300-000006000000}" name="4"/>
    <tableColumn id="7" xr3:uid="{00000000-0010-0000-0300-000007000000}" name="5"/>
    <tableColumn id="8" xr3:uid="{00000000-0010-0000-0300-000008000000}" name="6"/>
    <tableColumn id="9" xr3:uid="{00000000-0010-0000-0300-000009000000}" name="7"/>
    <tableColumn id="10" xr3:uid="{00000000-0010-0000-0300-00000A000000}" name="8"/>
    <tableColumn id="11" xr3:uid="{00000000-0010-0000-0300-00000B000000}" name="9"/>
    <tableColumn id="12" xr3:uid="{00000000-0010-0000-0300-00000C000000}" name="10"/>
    <tableColumn id="13" xr3:uid="{00000000-0010-0000-0300-00000D000000}" name="11"/>
    <tableColumn id="14" xr3:uid="{00000000-0010-0000-0300-00000E000000}" name="12"/>
    <tableColumn id="15" xr3:uid="{00000000-0010-0000-0300-00000F000000}" name="13"/>
    <tableColumn id="16" xr3:uid="{00000000-0010-0000-0300-000010000000}" name="14"/>
    <tableColumn id="17" xr3:uid="{00000000-0010-0000-0300-000011000000}" name="15"/>
    <tableColumn id="18" xr3:uid="{00000000-0010-0000-0300-000012000000}" name="16"/>
    <tableColumn id="19" xr3:uid="{00000000-0010-0000-0300-000013000000}" name="17"/>
    <tableColumn id="20" xr3:uid="{00000000-0010-0000-0300-000014000000}" name="18"/>
    <tableColumn id="21" xr3:uid="{00000000-0010-0000-0300-000015000000}" name="19"/>
    <tableColumn id="22" xr3:uid="{00000000-0010-0000-0300-000016000000}" name="20"/>
    <tableColumn id="23" xr3:uid="{00000000-0010-0000-0300-000017000000}" name="21"/>
    <tableColumn id="24" xr3:uid="{00000000-0010-0000-0300-000018000000}" name="22"/>
    <tableColumn id="25" xr3:uid="{00000000-0010-0000-0300-000019000000}" name="23"/>
    <tableColumn id="26" xr3:uid="{00000000-0010-0000-0300-00001A000000}" name="24"/>
    <tableColumn id="27" xr3:uid="{00000000-0010-0000-0300-00001B000000}" name="25"/>
    <tableColumn id="28" xr3:uid="{00000000-0010-0000-0300-00001C000000}" name="26"/>
    <tableColumn id="29" xr3:uid="{00000000-0010-0000-0300-00001D000000}" name="27"/>
    <tableColumn id="30" xr3:uid="{00000000-0010-0000-0300-00001E000000}" name="28"/>
    <tableColumn id="31" xr3:uid="{00000000-0010-0000-0300-00001F000000}" name="29"/>
    <tableColumn id="32" xr3:uid="{00000000-0010-0000-0300-000020000000}" name="30"/>
    <tableColumn id="33" xr3:uid="{00000000-0010-0000-0300-000021000000}" name="31"/>
    <tableColumn id="34" xr3:uid="{00000000-0010-0000-0300-000022000000}" name="Monatsstunden"/>
    <tableColumn id="35" xr3:uid="{00000000-0010-0000-0300-000023000000}" name="Soll-Stunden Monat"/>
    <tableColumn id="36" xr3:uid="{00000000-0010-0000-0300-000024000000}" name="Differenz"/>
    <tableColumn id="37" xr3:uid="{00000000-0010-0000-0300-000025000000}" name="Urlaubstage"/>
    <tableColumn id="38" xr3:uid="{00000000-0010-0000-0300-000026000000}" name="Krankheitstage"/>
    <tableColumn id="39" xr3:uid="{00000000-0010-0000-0300-000027000000}" name="Statu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blMitarbeiter" displayName="tblMitarbeiter" ref="A7:P17">
  <tableColumns count="16">
    <tableColumn id="1" xr3:uid="{00000000-0010-0000-0400-000001000000}" name="Aktiv"/>
    <tableColumn id="2" xr3:uid="{00000000-0010-0000-0400-000002000000}" name="Mitarbeiter-ID"/>
    <tableColumn id="3" xr3:uid="{00000000-0010-0000-0400-000003000000}" name="Vorname"/>
    <tableColumn id="4" xr3:uid="{00000000-0010-0000-0400-000004000000}" name="Nachname"/>
    <tableColumn id="5" xr3:uid="{00000000-0010-0000-0400-000005000000}" name="Mitarbeiter"/>
    <tableColumn id="6" xr3:uid="{00000000-0010-0000-0400-000006000000}" name="Rolle"/>
    <tableColumn id="7" xr3:uid="{00000000-0010-0000-0400-000007000000}" name="Abteilung"/>
    <tableColumn id="8" xr3:uid="{00000000-0010-0000-0400-000008000000}" name="Vertragsart"/>
    <tableColumn id="9" xr3:uid="{00000000-0010-0000-0400-000009000000}" name="Wochenstunden Soll"/>
    <tableColumn id="10" xr3:uid="{00000000-0010-0000-0400-00000A000000}" name="Monatsstunden Soll"/>
    <tableColumn id="11" xr3:uid="{00000000-0010-0000-0400-00000B000000}" name="Stundenlohn"/>
    <tableColumn id="12" xr3:uid="{00000000-0010-0000-0400-00000C000000}" name="Eintrittsdatum"/>
    <tableColumn id="13" xr3:uid="{00000000-0010-0000-0400-00000D000000}" name="Austrittsdatum"/>
    <tableColumn id="14" xr3:uid="{00000000-0010-0000-0400-00000E000000}" name="E-Mail"/>
    <tableColumn id="15" xr3:uid="{00000000-0010-0000-0400-00000F000000}" name="Telefon"/>
    <tableColumn id="16" xr3:uid="{00000000-0010-0000-0400-000010000000}" name="Bemerkungen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blAbwesenheiten" displayName="tblAbwesenheiten" ref="A22:G27">
  <tableColumns count="7">
    <tableColumn id="1" xr3:uid="{00000000-0010-0000-0500-000001000000}" name="Mitarbeiter"/>
    <tableColumn id="2" xr3:uid="{00000000-0010-0000-0500-000002000000}" name="Art"/>
    <tableColumn id="3" xr3:uid="{00000000-0010-0000-0500-000003000000}" name="Von"/>
    <tableColumn id="4" xr3:uid="{00000000-0010-0000-0500-000004000000}" name="Bis"/>
    <tableColumn id="5" xr3:uid="{00000000-0010-0000-0500-000005000000}" name="Tage"/>
    <tableColumn id="6" xr3:uid="{00000000-0010-0000-0500-000006000000}" name="Status"/>
    <tableColumn id="7" xr3:uid="{00000000-0010-0000-0500-000007000000}" name="Bemerkunge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6000000}" name="tblSchichtarten" displayName="tblSchichtarten" ref="A3:F10">
  <tableColumns count="6">
    <tableColumn id="1" xr3:uid="{00000000-0010-0000-0600-000001000000}" name="Kürzel"/>
    <tableColumn id="2" xr3:uid="{00000000-0010-0000-0600-000002000000}" name="Schichtname"/>
    <tableColumn id="3" xr3:uid="{00000000-0010-0000-0600-000003000000}" name="Beginn"/>
    <tableColumn id="4" xr3:uid="{00000000-0010-0000-0600-000004000000}" name="Ende"/>
    <tableColumn id="5" xr3:uid="{00000000-0010-0000-0600-000005000000}" name="Stunden"/>
    <tableColumn id="6" xr3:uid="{00000000-0010-0000-0600-000006000000}" name="Hinwei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7000000}" name="tblRollen" displayName="tblRollen" ref="H3:H11">
  <tableColumns count="1">
    <tableColumn id="1" xr3:uid="{00000000-0010-0000-0700-000001000000}" name="Rollen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8000000}" name="tblVertragsarten" displayName="tblVertragsarten" ref="J3:J8">
  <tableColumns count="1">
    <tableColumn id="1" xr3:uid="{00000000-0010-0000-0800-000001000000}" name="Vertragsarten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9000000}" name="tblAbwesenheitsarten" displayName="tblAbwesenheitsarten" ref="L3:L8">
  <tableColumns count="1">
    <tableColumn id="1" xr3:uid="{00000000-0010-0000-0900-000001000000}" name="Abwesenheitsarten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A000000}" name="tblStatuswerte" displayName="tblStatuswerte" ref="N3:N13">
  <tableColumns count="1">
    <tableColumn id="1" xr3:uid="{00000000-0010-0000-0A00-000001000000}" name="Statuswerte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B000000}" name="tblMonate" displayName="tblMonate" ref="P3:P15">
  <tableColumns count="1">
    <tableColumn id="1" xr3:uid="{00000000-0010-0000-0B00-000001000000}" name="Mon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Arbeitsplan">
  <a:themeElements>
    <a:clrScheme name="Arbeitsplan">
      <a:dk1>
        <a:srgbClr val="1A1A1A"/>
      </a:dk1>
      <a:lt1>
        <a:srgbClr val="FFFFFF"/>
      </a:lt1>
      <a:dk2>
        <a:srgbClr val="0E2841"/>
      </a:dk2>
      <a:lt2>
        <a:srgbClr val="F4F7F8"/>
      </a:lt2>
      <a:accent1>
        <a:srgbClr val="00484E"/>
      </a:accent1>
      <a:accent2>
        <a:srgbClr val="1F415A"/>
      </a:accent2>
      <a:accent3>
        <a:srgbClr val="D8EEF0"/>
      </a:accent3>
      <a:accent4>
        <a:srgbClr val="E7EDF2"/>
      </a:accent4>
      <a:accent5>
        <a:srgbClr val="F5F7F8"/>
      </a:accent5>
      <a:accent6>
        <a:srgbClr val="F9E9CC"/>
      </a:accent6>
      <a:hlink>
        <a:srgbClr val="1F415A"/>
      </a:hlink>
      <a:folHlink>
        <a:srgbClr val="1F415A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Arbeitsplan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table" Target="../tables/table8.xml"/><Relationship Id="rId1" Type="http://schemas.openxmlformats.org/officeDocument/2006/relationships/table" Target="../tables/table7.xml"/><Relationship Id="rId6" Type="http://schemas.openxmlformats.org/officeDocument/2006/relationships/table" Target="../tables/table12.xml"/><Relationship Id="rId5" Type="http://schemas.openxmlformats.org/officeDocument/2006/relationships/table" Target="../tables/table11.xml"/><Relationship Id="rId4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0"/>
  <sheetViews>
    <sheetView tabSelected="1" zoomScale="80" zoomScaleNormal="80" workbookViewId="0">
      <selection activeCell="A2" sqref="A2"/>
    </sheetView>
  </sheetViews>
  <sheetFormatPr baseColWidth="10" defaultColWidth="9" defaultRowHeight="15" x14ac:dyDescent="0.25"/>
  <cols>
    <col min="1" max="2" width="24" customWidth="1"/>
    <col min="3" max="3" width="13" customWidth="1"/>
    <col min="4" max="4" width="26" customWidth="1"/>
    <col min="5" max="5" width="18" customWidth="1"/>
    <col min="6" max="7" width="12" customWidth="1"/>
    <col min="8" max="9" width="14" customWidth="1"/>
    <col min="10" max="10" width="18" customWidth="1"/>
    <col min="11" max="11" width="15" customWidth="1"/>
    <col min="27" max="27" width="20" customWidth="1"/>
    <col min="28" max="28" width="16" customWidth="1"/>
    <col min="30" max="30" width="20" customWidth="1"/>
    <col min="31" max="31" width="16" customWidth="1"/>
  </cols>
  <sheetData>
    <row r="1" spans="1:32" ht="32.1" customHeight="1" x14ac:dyDescent="0.25">
      <c r="A1" s="18" t="s">
        <v>250</v>
      </c>
      <c r="B1" s="18" t="s">
        <v>0</v>
      </c>
      <c r="C1" s="18" t="s">
        <v>0</v>
      </c>
      <c r="D1" s="18" t="s">
        <v>0</v>
      </c>
      <c r="E1" s="18" t="s">
        <v>0</v>
      </c>
      <c r="F1" s="18" t="s">
        <v>0</v>
      </c>
      <c r="G1" s="18" t="s">
        <v>0</v>
      </c>
      <c r="H1" s="18" t="s">
        <v>0</v>
      </c>
      <c r="I1" s="18" t="s">
        <v>0</v>
      </c>
      <c r="J1" s="18" t="s">
        <v>0</v>
      </c>
      <c r="K1" s="18" t="s">
        <v>0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24" customHeight="1" x14ac:dyDescent="0.25">
      <c r="A3" s="9" t="s">
        <v>1</v>
      </c>
      <c r="B3" s="10" t="s">
        <v>2</v>
      </c>
      <c r="C3" s="1"/>
      <c r="D3" s="19" t="s">
        <v>3</v>
      </c>
      <c r="E3" s="19" t="s">
        <v>3</v>
      </c>
      <c r="F3" s="1"/>
      <c r="G3" s="19" t="s">
        <v>4</v>
      </c>
      <c r="H3" s="19" t="s">
        <v>4</v>
      </c>
      <c r="I3" s="19" t="s">
        <v>4</v>
      </c>
      <c r="J3" s="19" t="s">
        <v>4</v>
      </c>
      <c r="K3" s="19" t="s">
        <v>4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21.95" customHeight="1" x14ac:dyDescent="0.25">
      <c r="A4" s="9" t="s">
        <v>5</v>
      </c>
      <c r="B4" s="10" t="s">
        <v>6</v>
      </c>
      <c r="C4" s="1"/>
      <c r="D4" s="9" t="s">
        <v>7</v>
      </c>
      <c r="E4" s="1">
        <f>COUNTIF(Mitarbeiter!$A$8:$A$17,"Ja")</f>
        <v>10</v>
      </c>
      <c r="F4" s="1"/>
      <c r="G4" s="20" t="s">
        <v>8</v>
      </c>
      <c r="H4" s="20"/>
      <c r="I4" s="20"/>
      <c r="J4" s="20"/>
      <c r="K4" s="20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21.95" customHeight="1" x14ac:dyDescent="0.25">
      <c r="A5" s="9" t="s">
        <v>9</v>
      </c>
      <c r="B5" s="10" t="s">
        <v>10</v>
      </c>
      <c r="C5" s="1"/>
      <c r="D5" s="9" t="s">
        <v>11</v>
      </c>
      <c r="E5" s="3">
        <f>SUM($D$17:$D$26)</f>
        <v>1432</v>
      </c>
      <c r="F5" s="1"/>
      <c r="G5" s="20" t="s">
        <v>12</v>
      </c>
      <c r="H5" s="20"/>
      <c r="I5" s="20"/>
      <c r="J5" s="20"/>
      <c r="K5" s="20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21.95" customHeight="1" x14ac:dyDescent="0.25">
      <c r="A6" s="9" t="s">
        <v>13</v>
      </c>
      <c r="B6" s="10">
        <v>2026</v>
      </c>
      <c r="C6" s="1"/>
      <c r="D6" s="9" t="s">
        <v>14</v>
      </c>
      <c r="E6" s="3">
        <f>SUM($C$17:$C$26)</f>
        <v>1270</v>
      </c>
      <c r="F6" s="1"/>
      <c r="G6" s="20" t="s">
        <v>15</v>
      </c>
      <c r="H6" s="20"/>
      <c r="I6" s="20"/>
      <c r="J6" s="20"/>
      <c r="K6" s="20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21.95" customHeight="1" x14ac:dyDescent="0.25">
      <c r="A7" s="9" t="s">
        <v>16</v>
      </c>
      <c r="B7" s="10" t="s">
        <v>17</v>
      </c>
      <c r="C7" s="1"/>
      <c r="D7" s="9" t="s">
        <v>18</v>
      </c>
      <c r="E7" s="3">
        <f>E5-E6</f>
        <v>162</v>
      </c>
      <c r="F7" s="1"/>
      <c r="G7" s="20" t="s">
        <v>19</v>
      </c>
      <c r="H7" s="20"/>
      <c r="I7" s="20"/>
      <c r="J7" s="20"/>
      <c r="K7" s="20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36" customHeight="1" x14ac:dyDescent="0.25">
      <c r="A8" s="9" t="s">
        <v>20</v>
      </c>
      <c r="B8" s="10">
        <v>40</v>
      </c>
      <c r="C8" s="1"/>
      <c r="D8" s="9" t="s">
        <v>21</v>
      </c>
      <c r="E8" s="3">
        <f>SUM($H$17:$H$26)</f>
        <v>204</v>
      </c>
      <c r="F8" s="1"/>
      <c r="G8" s="20" t="s">
        <v>22</v>
      </c>
      <c r="H8" s="20"/>
      <c r="I8" s="20"/>
      <c r="J8" s="20"/>
      <c r="K8" s="20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25">
      <c r="A9" s="9" t="s">
        <v>23</v>
      </c>
      <c r="B9" s="12">
        <v>17.5</v>
      </c>
      <c r="C9" s="1"/>
      <c r="D9" s="9" t="s">
        <v>24</v>
      </c>
      <c r="E9" s="3">
        <f>SUM($F$17:$G$26)</f>
        <v>10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x14ac:dyDescent="0.25">
      <c r="A10" s="9" t="s">
        <v>25</v>
      </c>
      <c r="B10" s="12">
        <v>22000</v>
      </c>
      <c r="C10" s="1"/>
      <c r="D10" s="9" t="s">
        <v>26</v>
      </c>
      <c r="E10" s="4">
        <f>SUM($J$17:$J$26)</f>
        <v>25764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x14ac:dyDescent="0.25">
      <c r="A11" s="9" t="s">
        <v>27</v>
      </c>
      <c r="B11" s="17">
        <v>46140</v>
      </c>
      <c r="C11" s="1"/>
      <c r="D11" s="9" t="s">
        <v>28</v>
      </c>
      <c r="E11" s="4">
        <f>E10-$B$10</f>
        <v>3764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25">
      <c r="A12" s="9" t="s">
        <v>29</v>
      </c>
      <c r="B12" s="17">
        <v>46140</v>
      </c>
      <c r="C12" s="1"/>
      <c r="D12" s="9" t="s">
        <v>30</v>
      </c>
      <c r="E12" s="1" t="str">
        <f>IF(E11&lt;=0,"OK",IF(E11&lt;=$B$10*0.05,"Prüfen","Kritisch"))</f>
        <v>Kritisch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9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95" customHeight="1" x14ac:dyDescent="0.25">
      <c r="A15" s="19" t="s">
        <v>31</v>
      </c>
      <c r="B15" s="19" t="s">
        <v>31</v>
      </c>
      <c r="C15" s="19" t="s">
        <v>31</v>
      </c>
      <c r="D15" s="19" t="s">
        <v>31</v>
      </c>
      <c r="E15" s="19" t="s">
        <v>31</v>
      </c>
      <c r="F15" s="19" t="s">
        <v>31</v>
      </c>
      <c r="G15" s="19" t="s">
        <v>31</v>
      </c>
      <c r="H15" s="19" t="s">
        <v>31</v>
      </c>
      <c r="I15" s="19" t="s">
        <v>31</v>
      </c>
      <c r="J15" s="19" t="s">
        <v>31</v>
      </c>
      <c r="K15" s="19" t="s">
        <v>31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4" customHeight="1" x14ac:dyDescent="0.25">
      <c r="A16" s="2" t="s">
        <v>32</v>
      </c>
      <c r="B16" s="2" t="s">
        <v>33</v>
      </c>
      <c r="C16" s="2" t="s">
        <v>14</v>
      </c>
      <c r="D16" s="2" t="s">
        <v>11</v>
      </c>
      <c r="E16" s="2" t="s">
        <v>34</v>
      </c>
      <c r="F16" s="2" t="s">
        <v>35</v>
      </c>
      <c r="G16" s="2" t="s">
        <v>36</v>
      </c>
      <c r="H16" s="2" t="s">
        <v>21</v>
      </c>
      <c r="I16" s="2" t="s">
        <v>37</v>
      </c>
      <c r="J16" s="2" t="s">
        <v>38</v>
      </c>
      <c r="K16" s="2" t="s">
        <v>30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2" t="s">
        <v>32</v>
      </c>
      <c r="AB16" s="2" t="s">
        <v>11</v>
      </c>
      <c r="AC16" s="1"/>
      <c r="AD16" s="2" t="s">
        <v>32</v>
      </c>
      <c r="AE16" s="2" t="s">
        <v>38</v>
      </c>
      <c r="AF16" s="1"/>
    </row>
    <row r="17" spans="1:32" x14ac:dyDescent="0.25">
      <c r="A17" s="1" t="str">
        <f>Mitarbeiter!$E$8</f>
        <v>Anna Müller</v>
      </c>
      <c r="B17" s="1" t="str">
        <f>IFERROR(VLOOKUP($A17,Mitarbeiter!$E$8:$P$17,2,FALSE),"")</f>
        <v>Filialleitung</v>
      </c>
      <c r="C17" s="3">
        <f>IFERROR(VLOOKUP($A17,Mitarbeiter!$E$8:$P$17,6,FALSE),0)</f>
        <v>174</v>
      </c>
      <c r="D17" s="3">
        <f>IFERROR(VLOOKUP($A17,Monatsplan!$A$8:$AM$17,34,FALSE),0)</f>
        <v>208</v>
      </c>
      <c r="E17" s="3">
        <f t="shared" ref="E17:E26" si="0">D17-C17</f>
        <v>34</v>
      </c>
      <c r="F17" s="3">
        <f>IFERROR(VLOOKUP($A17,Monatsplan!$A$8:$AM$17,37,FALSE),0)</f>
        <v>0</v>
      </c>
      <c r="G17" s="3">
        <f>IFERROR(VLOOKUP($A17,Monatsplan!$A$8:$AM$17,38,FALSE),0)</f>
        <v>0</v>
      </c>
      <c r="H17" s="3">
        <f t="shared" ref="H17:H26" si="1">MAX(0,E17)</f>
        <v>34</v>
      </c>
      <c r="I17" s="4">
        <f>IFERROR(VLOOKUP($A17,Mitarbeiter!$E$8:$P$17,7,FALSE),0)</f>
        <v>24</v>
      </c>
      <c r="J17" s="4">
        <f t="shared" ref="J17:J26" si="2">D17*I17</f>
        <v>4992</v>
      </c>
      <c r="K17" s="1" t="str">
        <f t="shared" ref="K17:K26" si="3">IF(E17&gt;2,"Überstunden",IF(E17&lt;-2,"Unter Soll","OK"))</f>
        <v>Überstunden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 t="str">
        <f t="shared" ref="AA17:AA26" si="4">A17</f>
        <v>Anna Müller</v>
      </c>
      <c r="AB17" s="3">
        <f t="shared" ref="AB17:AB26" si="5">D17</f>
        <v>208</v>
      </c>
      <c r="AC17" s="1"/>
      <c r="AD17" s="1" t="str">
        <f t="shared" ref="AD17:AD26" si="6">A17</f>
        <v>Anna Müller</v>
      </c>
      <c r="AE17" s="4">
        <f t="shared" ref="AE17:AE26" si="7">J17</f>
        <v>4992</v>
      </c>
      <c r="AF17" s="1"/>
    </row>
    <row r="18" spans="1:32" x14ac:dyDescent="0.25">
      <c r="A18" s="1" t="str">
        <f>Mitarbeiter!$E$9</f>
        <v>Ben Schneider</v>
      </c>
      <c r="B18" s="1" t="str">
        <f>IFERROR(VLOOKUP($A18,Mitarbeiter!$E$8:$P$17,2,FALSE),"")</f>
        <v>Schichtleitung</v>
      </c>
      <c r="C18" s="3">
        <f>IFERROR(VLOOKUP($A18,Mitarbeiter!$E$8:$P$17,6,FALSE),0)</f>
        <v>167</v>
      </c>
      <c r="D18" s="3">
        <f>IFERROR(VLOOKUP($A18,Monatsplan!$A$8:$AM$17,34,FALSE),0)</f>
        <v>208</v>
      </c>
      <c r="E18" s="3">
        <f t="shared" si="0"/>
        <v>41</v>
      </c>
      <c r="F18" s="3">
        <f>IFERROR(VLOOKUP($A18,Monatsplan!$A$8:$AM$17,37,FALSE),0)</f>
        <v>0</v>
      </c>
      <c r="G18" s="3">
        <f>IFERROR(VLOOKUP($A18,Monatsplan!$A$8:$AM$17,38,FALSE),0)</f>
        <v>0</v>
      </c>
      <c r="H18" s="3">
        <f t="shared" si="1"/>
        <v>41</v>
      </c>
      <c r="I18" s="4">
        <f>IFERROR(VLOOKUP($A18,Mitarbeiter!$E$8:$P$17,7,FALSE),0)</f>
        <v>20</v>
      </c>
      <c r="J18" s="4">
        <f t="shared" si="2"/>
        <v>4160</v>
      </c>
      <c r="K18" s="1" t="str">
        <f t="shared" si="3"/>
        <v>Überstunden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 t="str">
        <f t="shared" si="4"/>
        <v>Ben Schneider</v>
      </c>
      <c r="AB18" s="3">
        <f t="shared" si="5"/>
        <v>208</v>
      </c>
      <c r="AC18" s="1"/>
      <c r="AD18" s="1" t="str">
        <f t="shared" si="6"/>
        <v>Ben Schneider</v>
      </c>
      <c r="AE18" s="4">
        <f t="shared" si="7"/>
        <v>4160</v>
      </c>
      <c r="AF18" s="1"/>
    </row>
    <row r="19" spans="1:32" x14ac:dyDescent="0.25">
      <c r="A19" s="1" t="str">
        <f>Mitarbeiter!$E$10</f>
        <v>Clara Fischer</v>
      </c>
      <c r="B19" s="1" t="str">
        <f>IFERROR(VLOOKUP($A19,Mitarbeiter!$E$8:$P$17,2,FALSE),"")</f>
        <v>Verkauf</v>
      </c>
      <c r="C19" s="3">
        <f>IFERROR(VLOOKUP($A19,Mitarbeiter!$E$8:$P$17,6,FALSE),0)</f>
        <v>108</v>
      </c>
      <c r="D19" s="3">
        <f>IFERROR(VLOOKUP($A19,Monatsplan!$A$8:$AM$17,34,FALSE),0)</f>
        <v>96</v>
      </c>
      <c r="E19" s="3">
        <f t="shared" si="0"/>
        <v>-12</v>
      </c>
      <c r="F19" s="3">
        <f>IFERROR(VLOOKUP($A19,Monatsplan!$A$8:$AM$17,37,FALSE),0)</f>
        <v>5</v>
      </c>
      <c r="G19" s="3">
        <f>IFERROR(VLOOKUP($A19,Monatsplan!$A$8:$AM$17,38,FALSE),0)</f>
        <v>0</v>
      </c>
      <c r="H19" s="3">
        <f t="shared" si="1"/>
        <v>0</v>
      </c>
      <c r="I19" s="4">
        <f>IFERROR(VLOOKUP($A19,Mitarbeiter!$E$8:$P$17,7,FALSE),0)</f>
        <v>16</v>
      </c>
      <c r="J19" s="4">
        <f t="shared" si="2"/>
        <v>1536</v>
      </c>
      <c r="K19" s="1" t="str">
        <f t="shared" si="3"/>
        <v>Unter Soll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str">
        <f t="shared" si="4"/>
        <v>Clara Fischer</v>
      </c>
      <c r="AB19" s="3">
        <f t="shared" si="5"/>
        <v>96</v>
      </c>
      <c r="AC19" s="1"/>
      <c r="AD19" s="1" t="str">
        <f t="shared" si="6"/>
        <v>Clara Fischer</v>
      </c>
      <c r="AE19" s="4">
        <f t="shared" si="7"/>
        <v>1536</v>
      </c>
      <c r="AF19" s="1"/>
    </row>
    <row r="20" spans="1:32" x14ac:dyDescent="0.25">
      <c r="A20" s="1" t="str">
        <f>Mitarbeiter!$E$11</f>
        <v>David Weber</v>
      </c>
      <c r="B20" s="1" t="str">
        <f>IFERROR(VLOOKUP($A20,Mitarbeiter!$E$8:$P$17,2,FALSE),"")</f>
        <v>Küche</v>
      </c>
      <c r="C20" s="3">
        <f>IFERROR(VLOOKUP($A20,Mitarbeiter!$E$8:$P$17,6,FALSE),0)</f>
        <v>174</v>
      </c>
      <c r="D20" s="3">
        <f>IFERROR(VLOOKUP($A20,Monatsplan!$A$8:$AM$17,34,FALSE),0)</f>
        <v>168</v>
      </c>
      <c r="E20" s="3">
        <f t="shared" si="0"/>
        <v>-6</v>
      </c>
      <c r="F20" s="3">
        <f>IFERROR(VLOOKUP($A20,Monatsplan!$A$8:$AM$17,37,FALSE),0)</f>
        <v>0</v>
      </c>
      <c r="G20" s="3">
        <f>IFERROR(VLOOKUP($A20,Monatsplan!$A$8:$AM$17,38,FALSE),0)</f>
        <v>0</v>
      </c>
      <c r="H20" s="3">
        <f t="shared" si="1"/>
        <v>0</v>
      </c>
      <c r="I20" s="4">
        <f>IFERROR(VLOOKUP($A20,Mitarbeiter!$E$8:$P$17,7,FALSE),0)</f>
        <v>18</v>
      </c>
      <c r="J20" s="4">
        <f t="shared" si="2"/>
        <v>3024</v>
      </c>
      <c r="K20" s="1" t="str">
        <f t="shared" si="3"/>
        <v>Unter Soll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str">
        <f t="shared" si="4"/>
        <v>David Weber</v>
      </c>
      <c r="AB20" s="3">
        <f t="shared" si="5"/>
        <v>168</v>
      </c>
      <c r="AC20" s="1"/>
      <c r="AD20" s="1" t="str">
        <f t="shared" si="6"/>
        <v>David Weber</v>
      </c>
      <c r="AE20" s="4">
        <f t="shared" si="7"/>
        <v>3024</v>
      </c>
      <c r="AF20" s="1"/>
    </row>
    <row r="21" spans="1:32" x14ac:dyDescent="0.25">
      <c r="A21" s="1" t="str">
        <f>Mitarbeiter!$E$12</f>
        <v>Emma Hoffmann</v>
      </c>
      <c r="B21" s="1" t="str">
        <f>IFERROR(VLOOKUP($A21,Mitarbeiter!$E$8:$P$17,2,FALSE),"")</f>
        <v>Service</v>
      </c>
      <c r="C21" s="3">
        <f>IFERROR(VLOOKUP($A21,Mitarbeiter!$E$8:$P$17,6,FALSE),0)</f>
        <v>130</v>
      </c>
      <c r="D21" s="3">
        <f>IFERROR(VLOOKUP($A21,Monatsplan!$A$8:$AM$17,34,FALSE),0)</f>
        <v>112</v>
      </c>
      <c r="E21" s="3">
        <f t="shared" si="0"/>
        <v>-18</v>
      </c>
      <c r="F21" s="3">
        <f>IFERROR(VLOOKUP($A21,Monatsplan!$A$8:$AM$17,37,FALSE),0)</f>
        <v>0</v>
      </c>
      <c r="G21" s="3">
        <f>IFERROR(VLOOKUP($A21,Monatsplan!$A$8:$AM$17,38,FALSE),0)</f>
        <v>2</v>
      </c>
      <c r="H21" s="3">
        <f t="shared" si="1"/>
        <v>0</v>
      </c>
      <c r="I21" s="4">
        <f>IFERROR(VLOOKUP($A21,Mitarbeiter!$E$8:$P$17,7,FALSE),0)</f>
        <v>16.5</v>
      </c>
      <c r="J21" s="4">
        <f t="shared" si="2"/>
        <v>1848</v>
      </c>
      <c r="K21" s="1" t="str">
        <f t="shared" si="3"/>
        <v>Unter Soll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str">
        <f t="shared" si="4"/>
        <v>Emma Hoffmann</v>
      </c>
      <c r="AB21" s="3">
        <f t="shared" si="5"/>
        <v>112</v>
      </c>
      <c r="AC21" s="1"/>
      <c r="AD21" s="1" t="str">
        <f t="shared" si="6"/>
        <v>Emma Hoffmann</v>
      </c>
      <c r="AE21" s="4">
        <f t="shared" si="7"/>
        <v>1848</v>
      </c>
      <c r="AF21" s="1"/>
    </row>
    <row r="22" spans="1:32" x14ac:dyDescent="0.25">
      <c r="A22" s="1" t="str">
        <f>Mitarbeiter!$E$13</f>
        <v>Felix Wagner</v>
      </c>
      <c r="B22" s="1" t="str">
        <f>IFERROR(VLOOKUP($A22,Mitarbeiter!$E$8:$P$17,2,FALSE),"")</f>
        <v>Lager</v>
      </c>
      <c r="C22" s="3">
        <f>IFERROR(VLOOKUP($A22,Mitarbeiter!$E$8:$P$17,6,FALSE),0)</f>
        <v>52</v>
      </c>
      <c r="D22" s="3">
        <f>IFERROR(VLOOKUP($A22,Monatsplan!$A$8:$AM$17,34,FALSE),0)</f>
        <v>104</v>
      </c>
      <c r="E22" s="3">
        <f t="shared" si="0"/>
        <v>52</v>
      </c>
      <c r="F22" s="3">
        <f>IFERROR(VLOOKUP($A22,Monatsplan!$A$8:$AM$17,37,FALSE),0)</f>
        <v>0</v>
      </c>
      <c r="G22" s="3">
        <f>IFERROR(VLOOKUP($A22,Monatsplan!$A$8:$AM$17,38,FALSE),0)</f>
        <v>0</v>
      </c>
      <c r="H22" s="3">
        <f t="shared" si="1"/>
        <v>52</v>
      </c>
      <c r="I22" s="4">
        <f>IFERROR(VLOOKUP($A22,Mitarbeiter!$E$8:$P$17,7,FALSE),0)</f>
        <v>14</v>
      </c>
      <c r="J22" s="4">
        <f t="shared" si="2"/>
        <v>1456</v>
      </c>
      <c r="K22" s="1" t="str">
        <f t="shared" si="3"/>
        <v>Überstunden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 t="str">
        <f t="shared" si="4"/>
        <v>Felix Wagner</v>
      </c>
      <c r="AB22" s="3">
        <f t="shared" si="5"/>
        <v>104</v>
      </c>
      <c r="AC22" s="1"/>
      <c r="AD22" s="1" t="str">
        <f t="shared" si="6"/>
        <v>Felix Wagner</v>
      </c>
      <c r="AE22" s="4">
        <f t="shared" si="7"/>
        <v>1456</v>
      </c>
      <c r="AF22" s="1"/>
    </row>
    <row r="23" spans="1:32" x14ac:dyDescent="0.25">
      <c r="A23" s="1" t="str">
        <f>Mitarbeiter!$E$14</f>
        <v>Greta Becker</v>
      </c>
      <c r="B23" s="1" t="str">
        <f>IFERROR(VLOOKUP($A23,Mitarbeiter!$E$8:$P$17,2,FALSE),"")</f>
        <v>Verkauf</v>
      </c>
      <c r="C23" s="3">
        <f>IFERROR(VLOOKUP($A23,Mitarbeiter!$E$8:$P$17,6,FALSE),0)</f>
        <v>87</v>
      </c>
      <c r="D23" s="3">
        <f>IFERROR(VLOOKUP($A23,Monatsplan!$A$8:$AM$17,34,FALSE),0)</f>
        <v>104</v>
      </c>
      <c r="E23" s="3">
        <f t="shared" si="0"/>
        <v>17</v>
      </c>
      <c r="F23" s="3">
        <f>IFERROR(VLOOKUP($A23,Monatsplan!$A$8:$AM$17,37,FALSE),0)</f>
        <v>0</v>
      </c>
      <c r="G23" s="3">
        <f>IFERROR(VLOOKUP($A23,Monatsplan!$A$8:$AM$17,38,FALSE),0)</f>
        <v>0</v>
      </c>
      <c r="H23" s="3">
        <f t="shared" si="1"/>
        <v>17</v>
      </c>
      <c r="I23" s="4">
        <f>IFERROR(VLOOKUP($A23,Mitarbeiter!$E$8:$P$17,7,FALSE),0)</f>
        <v>15</v>
      </c>
      <c r="J23" s="4">
        <f t="shared" si="2"/>
        <v>1560</v>
      </c>
      <c r="K23" s="1" t="str">
        <f t="shared" si="3"/>
        <v>Überstunden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str">
        <f t="shared" si="4"/>
        <v>Greta Becker</v>
      </c>
      <c r="AB23" s="3">
        <f t="shared" si="5"/>
        <v>104</v>
      </c>
      <c r="AC23" s="1"/>
      <c r="AD23" s="1" t="str">
        <f t="shared" si="6"/>
        <v>Greta Becker</v>
      </c>
      <c r="AE23" s="4">
        <f t="shared" si="7"/>
        <v>1560</v>
      </c>
      <c r="AF23" s="1"/>
    </row>
    <row r="24" spans="1:32" x14ac:dyDescent="0.25">
      <c r="A24" s="1" t="str">
        <f>Mitarbeiter!$E$15</f>
        <v>Hasan Kaya</v>
      </c>
      <c r="B24" s="1" t="str">
        <f>IFERROR(VLOOKUP($A24,Mitarbeiter!$E$8:$P$17,2,FALSE),"")</f>
        <v>Küche</v>
      </c>
      <c r="C24" s="3">
        <f>IFERROR(VLOOKUP($A24,Mitarbeiter!$E$8:$P$17,6,FALSE),0)</f>
        <v>174</v>
      </c>
      <c r="D24" s="3">
        <f>IFERROR(VLOOKUP($A24,Monatsplan!$A$8:$AM$17,34,FALSE),0)</f>
        <v>168</v>
      </c>
      <c r="E24" s="3">
        <f t="shared" si="0"/>
        <v>-6</v>
      </c>
      <c r="F24" s="3">
        <f>IFERROR(VLOOKUP($A24,Monatsplan!$A$8:$AM$17,37,FALSE),0)</f>
        <v>0</v>
      </c>
      <c r="G24" s="3">
        <f>IFERROR(VLOOKUP($A24,Monatsplan!$A$8:$AM$17,38,FALSE),0)</f>
        <v>0</v>
      </c>
      <c r="H24" s="3">
        <f t="shared" si="1"/>
        <v>0</v>
      </c>
      <c r="I24" s="4">
        <f>IFERROR(VLOOKUP($A24,Mitarbeiter!$E$8:$P$17,7,FALSE),0)</f>
        <v>18.5</v>
      </c>
      <c r="J24" s="4">
        <f t="shared" si="2"/>
        <v>3108</v>
      </c>
      <c r="K24" s="1" t="str">
        <f t="shared" si="3"/>
        <v>Unter Soll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str">
        <f t="shared" si="4"/>
        <v>Hasan Kaya</v>
      </c>
      <c r="AB24" s="3">
        <f t="shared" si="5"/>
        <v>168</v>
      </c>
      <c r="AC24" s="1"/>
      <c r="AD24" s="1" t="str">
        <f t="shared" si="6"/>
        <v>Hasan Kaya</v>
      </c>
      <c r="AE24" s="4">
        <f t="shared" si="7"/>
        <v>3108</v>
      </c>
      <c r="AF24" s="1"/>
    </row>
    <row r="25" spans="1:32" x14ac:dyDescent="0.25">
      <c r="A25" s="1" t="str">
        <f>Mitarbeiter!$E$16</f>
        <v>Laura Schmidt</v>
      </c>
      <c r="B25" s="1" t="str">
        <f>IFERROR(VLOOKUP($A25,Mitarbeiter!$E$8:$P$17,2,FALSE),"")</f>
        <v>Verkauf</v>
      </c>
      <c r="C25" s="3">
        <f>IFERROR(VLOOKUP($A25,Mitarbeiter!$E$8:$P$17,6,FALSE),0)</f>
        <v>139</v>
      </c>
      <c r="D25" s="3">
        <f>IFERROR(VLOOKUP($A25,Monatsplan!$A$8:$AM$17,34,FALSE),0)</f>
        <v>168</v>
      </c>
      <c r="E25" s="3">
        <f t="shared" si="0"/>
        <v>29</v>
      </c>
      <c r="F25" s="3">
        <f>IFERROR(VLOOKUP($A25,Monatsplan!$A$8:$AM$17,37,FALSE),0)</f>
        <v>0</v>
      </c>
      <c r="G25" s="3">
        <f>IFERROR(VLOOKUP($A25,Monatsplan!$A$8:$AM$17,38,FALSE),0)</f>
        <v>0</v>
      </c>
      <c r="H25" s="3">
        <f t="shared" si="1"/>
        <v>29</v>
      </c>
      <c r="I25" s="4">
        <f>IFERROR(VLOOKUP($A25,Mitarbeiter!$E$8:$P$17,7,FALSE),0)</f>
        <v>16</v>
      </c>
      <c r="J25" s="4">
        <f t="shared" si="2"/>
        <v>2688</v>
      </c>
      <c r="K25" s="1" t="str">
        <f t="shared" si="3"/>
        <v>Überstunden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 t="str">
        <f t="shared" si="4"/>
        <v>Laura Schmidt</v>
      </c>
      <c r="AB25" s="3">
        <f t="shared" si="5"/>
        <v>168</v>
      </c>
      <c r="AC25" s="1"/>
      <c r="AD25" s="1" t="str">
        <f t="shared" si="6"/>
        <v>Laura Schmidt</v>
      </c>
      <c r="AE25" s="4">
        <f t="shared" si="7"/>
        <v>2688</v>
      </c>
      <c r="AF25" s="1"/>
    </row>
    <row r="26" spans="1:32" x14ac:dyDescent="0.25">
      <c r="A26" s="1" t="str">
        <f>Mitarbeiter!$E$17</f>
        <v>Sofia Klein</v>
      </c>
      <c r="B26" s="1" t="str">
        <f>IFERROR(VLOOKUP($A26,Mitarbeiter!$E$8:$P$17,2,FALSE),"")</f>
        <v>Aushilfe</v>
      </c>
      <c r="C26" s="3">
        <f>IFERROR(VLOOKUP($A26,Mitarbeiter!$E$8:$P$17,6,FALSE),0)</f>
        <v>65</v>
      </c>
      <c r="D26" s="3">
        <f>IFERROR(VLOOKUP($A26,Monatsplan!$A$8:$AM$17,34,FALSE),0)</f>
        <v>96</v>
      </c>
      <c r="E26" s="3">
        <f t="shared" si="0"/>
        <v>31</v>
      </c>
      <c r="F26" s="3">
        <f>IFERROR(VLOOKUP($A26,Monatsplan!$A$8:$AM$17,37,FALSE),0)</f>
        <v>3</v>
      </c>
      <c r="G26" s="3">
        <f>IFERROR(VLOOKUP($A26,Monatsplan!$A$8:$AM$17,38,FALSE),0)</f>
        <v>0</v>
      </c>
      <c r="H26" s="3">
        <f t="shared" si="1"/>
        <v>31</v>
      </c>
      <c r="I26" s="4">
        <f>IFERROR(VLOOKUP($A26,Mitarbeiter!$E$8:$P$17,7,FALSE),0)</f>
        <v>14.5</v>
      </c>
      <c r="J26" s="4">
        <f t="shared" si="2"/>
        <v>1392</v>
      </c>
      <c r="K26" s="1" t="str">
        <f t="shared" si="3"/>
        <v>Überstunden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 t="str">
        <f t="shared" si="4"/>
        <v>Sofia Klein</v>
      </c>
      <c r="AB26" s="3">
        <f t="shared" si="5"/>
        <v>96</v>
      </c>
      <c r="AC26" s="1"/>
      <c r="AD26" s="1" t="str">
        <f t="shared" si="6"/>
        <v>Sofia Klein</v>
      </c>
      <c r="AE26" s="4">
        <f t="shared" si="7"/>
        <v>1392</v>
      </c>
      <c r="AF26" s="1"/>
    </row>
    <row r="27" spans="1:32" ht="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</sheetData>
  <mergeCells count="9">
    <mergeCell ref="G6:K6"/>
    <mergeCell ref="G7:K7"/>
    <mergeCell ref="G8:K8"/>
    <mergeCell ref="A15:K15"/>
    <mergeCell ref="A1:K1"/>
    <mergeCell ref="D3:E3"/>
    <mergeCell ref="G3:K3"/>
    <mergeCell ref="G4:K4"/>
    <mergeCell ref="G5:K5"/>
  </mergeCells>
  <conditionalFormatting sqref="E12">
    <cfRule type="expression" dxfId="33" priority="7">
      <formula>E12="OK"</formula>
    </cfRule>
    <cfRule type="expression" dxfId="32" priority="8">
      <formula>E12="Prüfen"</formula>
    </cfRule>
    <cfRule type="expression" dxfId="31" priority="9">
      <formula>E12="Kritisch"</formula>
    </cfRule>
  </conditionalFormatting>
  <conditionalFormatting sqref="K17:K26">
    <cfRule type="expression" dxfId="30" priority="10">
      <formula>$K17="OK"</formula>
    </cfRule>
    <cfRule type="expression" dxfId="29" priority="11">
      <formula>$K17="Überstunden"</formula>
    </cfRule>
    <cfRule type="expression" dxfId="28" priority="12">
      <formula>$K17="Unter Soll"</formula>
    </cfRule>
  </conditionalFormatting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Listen!$P$4:$P$15</xm:f>
          </x14:formula1>
          <xm:sqref>B5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0"/>
  <sheetViews>
    <sheetView workbookViewId="0"/>
  </sheetViews>
  <sheetFormatPr baseColWidth="10" defaultColWidth="9" defaultRowHeight="15" x14ac:dyDescent="0.25"/>
  <cols>
    <col min="1" max="1" width="20" customWidth="1"/>
    <col min="2" max="2" width="17" customWidth="1"/>
    <col min="3" max="9" width="11" customWidth="1"/>
    <col min="10" max="10" width="15" customWidth="1"/>
    <col min="11" max="11" width="13" customWidth="1"/>
    <col min="12" max="12" width="12" customWidth="1"/>
    <col min="13" max="13" width="14" customWidth="1"/>
    <col min="14" max="14" width="24" customWidth="1"/>
    <col min="16" max="16" width="14" customWidth="1"/>
    <col min="17" max="20" width="12" customWidth="1"/>
    <col min="21" max="22" width="16" customWidth="1"/>
  </cols>
  <sheetData>
    <row r="1" spans="1:22" ht="32.1" customHeight="1" x14ac:dyDescent="0.25">
      <c r="A1" s="18" t="s">
        <v>39</v>
      </c>
      <c r="B1" s="18" t="s">
        <v>39</v>
      </c>
      <c r="C1" s="18" t="s">
        <v>39</v>
      </c>
      <c r="D1" s="18" t="s">
        <v>39</v>
      </c>
      <c r="E1" s="18" t="s">
        <v>39</v>
      </c>
      <c r="F1" s="18" t="s">
        <v>39</v>
      </c>
      <c r="G1" s="18" t="s">
        <v>39</v>
      </c>
      <c r="H1" s="18" t="s">
        <v>39</v>
      </c>
      <c r="I1" s="18" t="s">
        <v>39</v>
      </c>
      <c r="J1" s="18" t="s">
        <v>39</v>
      </c>
      <c r="K1" s="18" t="s">
        <v>39</v>
      </c>
      <c r="L1" s="18" t="s">
        <v>39</v>
      </c>
      <c r="M1" s="18" t="s">
        <v>39</v>
      </c>
      <c r="N1" s="18" t="s">
        <v>39</v>
      </c>
      <c r="O1" s="1"/>
      <c r="P1" s="1"/>
      <c r="Q1" s="1"/>
      <c r="R1" s="1"/>
      <c r="S1" s="1"/>
      <c r="T1" s="1"/>
      <c r="U1" s="1"/>
      <c r="V1" s="1"/>
    </row>
    <row r="2" spans="1:2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4" customHeight="1" x14ac:dyDescent="0.25">
      <c r="A3" s="9" t="s">
        <v>40</v>
      </c>
      <c r="B3" s="10">
        <v>18</v>
      </c>
      <c r="C3" s="1"/>
      <c r="D3" s="9" t="s">
        <v>41</v>
      </c>
      <c r="E3" s="10" t="s">
        <v>42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25">
      <c r="A4" s="9" t="s">
        <v>43</v>
      </c>
      <c r="B4" s="17">
        <v>46139</v>
      </c>
      <c r="C4" s="1"/>
      <c r="D4" s="9" t="s">
        <v>44</v>
      </c>
      <c r="E4" s="10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25">
      <c r="A5" s="9" t="s">
        <v>45</v>
      </c>
      <c r="B5" s="17">
        <f>B4+6</f>
        <v>46145</v>
      </c>
      <c r="C5" s="1"/>
      <c r="D5" s="9" t="s">
        <v>46</v>
      </c>
      <c r="E5" s="10">
        <v>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25">
      <c r="A6" s="1"/>
      <c r="B6" s="10"/>
      <c r="C6" s="1"/>
      <c r="D6" s="9" t="s">
        <v>47</v>
      </c>
      <c r="E6" s="10">
        <v>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1.95" customHeight="1" x14ac:dyDescent="0.25">
      <c r="A7" s="1"/>
      <c r="B7" s="10"/>
      <c r="C7" s="1"/>
      <c r="D7" s="9" t="s">
        <v>48</v>
      </c>
      <c r="E7" s="10">
        <v>1</v>
      </c>
      <c r="F7" s="1"/>
      <c r="G7" s="1"/>
      <c r="H7" s="1"/>
      <c r="I7" s="1"/>
      <c r="J7" s="1"/>
      <c r="K7" s="1"/>
      <c r="L7" s="1"/>
      <c r="M7" s="1"/>
      <c r="N7" s="1"/>
      <c r="O7" s="1"/>
      <c r="P7" s="19" t="s">
        <v>49</v>
      </c>
      <c r="Q7" s="19" t="s">
        <v>49</v>
      </c>
      <c r="R7" s="19" t="s">
        <v>49</v>
      </c>
      <c r="S7" s="19" t="s">
        <v>49</v>
      </c>
      <c r="T7" s="19" t="s">
        <v>49</v>
      </c>
      <c r="U7" s="19" t="s">
        <v>49</v>
      </c>
      <c r="V7" s="19" t="s">
        <v>49</v>
      </c>
    </row>
    <row r="8" spans="1:22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24" customHeight="1" x14ac:dyDescent="0.25">
      <c r="A9" s="2" t="s">
        <v>32</v>
      </c>
      <c r="B9" s="2" t="s">
        <v>33</v>
      </c>
      <c r="C9" s="2" t="s">
        <v>50</v>
      </c>
      <c r="D9" s="2" t="s">
        <v>51</v>
      </c>
      <c r="E9" s="2" t="s">
        <v>52</v>
      </c>
      <c r="F9" s="2" t="s">
        <v>53</v>
      </c>
      <c r="G9" s="2" t="s">
        <v>54</v>
      </c>
      <c r="H9" s="2" t="s">
        <v>55</v>
      </c>
      <c r="I9" s="2" t="s">
        <v>56</v>
      </c>
      <c r="J9" s="2" t="s">
        <v>57</v>
      </c>
      <c r="K9" s="2" t="s">
        <v>14</v>
      </c>
      <c r="L9" s="2" t="s">
        <v>34</v>
      </c>
      <c r="M9" s="2" t="s">
        <v>30</v>
      </c>
      <c r="N9" s="2" t="s">
        <v>58</v>
      </c>
      <c r="O9" s="1"/>
      <c r="P9" s="2" t="s">
        <v>59</v>
      </c>
      <c r="Q9" s="2" t="s">
        <v>60</v>
      </c>
      <c r="R9" s="2" t="s">
        <v>61</v>
      </c>
      <c r="S9" s="2" t="s">
        <v>62</v>
      </c>
      <c r="T9" s="2" t="s">
        <v>63</v>
      </c>
      <c r="U9" s="2" t="s">
        <v>64</v>
      </c>
      <c r="V9" s="2" t="s">
        <v>30</v>
      </c>
    </row>
    <row r="10" spans="1:22" x14ac:dyDescent="0.25">
      <c r="A10" s="1" t="s">
        <v>65</v>
      </c>
      <c r="B10" s="1" t="str">
        <f>IFERROR(VLOOKUP($A10,Mitarbeiter!$E$8:$P$17,2,FALSE),"")</f>
        <v>Filialleitung</v>
      </c>
      <c r="C10" s="11" t="s">
        <v>66</v>
      </c>
      <c r="D10" s="11" t="s">
        <v>66</v>
      </c>
      <c r="E10" s="11" t="s">
        <v>66</v>
      </c>
      <c r="F10" s="11" t="s">
        <v>66</v>
      </c>
      <c r="G10" s="11" t="s">
        <v>66</v>
      </c>
      <c r="H10" s="11" t="s">
        <v>67</v>
      </c>
      <c r="I10" s="11" t="s">
        <v>67</v>
      </c>
      <c r="J10" s="3">
        <f t="shared" ref="J10:J19" si="0">COUNTIF(C10:I10,"F")*8+COUNTIF(C10:I10,"S")*8+COUNTIF(C10:I10,"N")*8+COUNTIF(C10:I10,"T")*8</f>
        <v>40</v>
      </c>
      <c r="K10" s="3">
        <f>IFERROR(VLOOKUP($A10,Mitarbeiter!$E$8:$P$17,5,FALSE),0)</f>
        <v>40</v>
      </c>
      <c r="L10" s="3">
        <f t="shared" ref="L10:L19" si="1">J10-K10</f>
        <v>0</v>
      </c>
      <c r="M10" s="11" t="str">
        <f t="shared" ref="M10:M19" si="2">IF(L10&gt;2,"Überstunden",IF(L10&lt;-2,"Unter Soll","OK"))</f>
        <v>OK</v>
      </c>
      <c r="N10" s="1"/>
      <c r="O10" s="1"/>
      <c r="P10" s="1" t="s">
        <v>50</v>
      </c>
      <c r="Q10" s="1">
        <f>COUNTIF(C$10:C$19,"F")</f>
        <v>3</v>
      </c>
      <c r="R10" s="1">
        <f>COUNTIF(C$10:C$19,"S")</f>
        <v>3</v>
      </c>
      <c r="S10" s="1">
        <f>COUNTIF(C$10:C$19,"N")</f>
        <v>0</v>
      </c>
      <c r="T10" s="1">
        <f>COUNTIF(C$10:C$19,"T")</f>
        <v>2</v>
      </c>
      <c r="U10" s="1">
        <f t="shared" ref="U10:U16" si="3">$E$4+$E$5+$E$6+$E$7</f>
        <v>5</v>
      </c>
      <c r="V10" s="1" t="str">
        <f t="shared" ref="V10:V16" si="4">IF(AND(Q10&gt;=$E$4,R10&gt;=$E$5,S10&gt;=$E$6,T10&gt;=$E$7),"OK","Unterbesetzt")</f>
        <v>OK</v>
      </c>
    </row>
    <row r="11" spans="1:22" x14ac:dyDescent="0.25">
      <c r="A11" s="1" t="s">
        <v>68</v>
      </c>
      <c r="B11" s="1" t="str">
        <f>IFERROR(VLOOKUP($A11,Mitarbeiter!$E$8:$P$17,2,FALSE),"")</f>
        <v>Schichtleitung</v>
      </c>
      <c r="C11" s="11" t="s">
        <v>69</v>
      </c>
      <c r="D11" s="11" t="s">
        <v>69</v>
      </c>
      <c r="E11" s="11" t="s">
        <v>69</v>
      </c>
      <c r="F11" s="11" t="s">
        <v>69</v>
      </c>
      <c r="G11" s="11" t="s">
        <v>69</v>
      </c>
      <c r="H11" s="11" t="s">
        <v>67</v>
      </c>
      <c r="I11" s="11" t="s">
        <v>67</v>
      </c>
      <c r="J11" s="3">
        <f t="shared" si="0"/>
        <v>40</v>
      </c>
      <c r="K11" s="3">
        <f>IFERROR(VLOOKUP($A11,Mitarbeiter!$E$8:$P$17,5,FALSE),0)</f>
        <v>38.5</v>
      </c>
      <c r="L11" s="3">
        <f t="shared" si="1"/>
        <v>1.5</v>
      </c>
      <c r="M11" s="11" t="str">
        <f t="shared" si="2"/>
        <v>OK</v>
      </c>
      <c r="N11" s="1"/>
      <c r="O11" s="1"/>
      <c r="P11" s="1" t="s">
        <v>51</v>
      </c>
      <c r="Q11" s="1">
        <f>COUNTIF(D$10:D$19,"F")</f>
        <v>3</v>
      </c>
      <c r="R11" s="1">
        <f>COUNTIF(D$10:D$19,"S")</f>
        <v>3</v>
      </c>
      <c r="S11" s="1">
        <f>COUNTIF(D$10:D$19,"N")</f>
        <v>0</v>
      </c>
      <c r="T11" s="1">
        <f>COUNTIF(D$10:D$19,"T")</f>
        <v>3</v>
      </c>
      <c r="U11" s="1">
        <f t="shared" si="3"/>
        <v>5</v>
      </c>
      <c r="V11" s="1" t="str">
        <f t="shared" si="4"/>
        <v>OK</v>
      </c>
    </row>
    <row r="12" spans="1:22" x14ac:dyDescent="0.25">
      <c r="A12" s="1" t="s">
        <v>70</v>
      </c>
      <c r="B12" s="1" t="str">
        <f>IFERROR(VLOOKUP($A12,Mitarbeiter!$E$8:$P$17,2,FALSE),"")</f>
        <v>Verkauf</v>
      </c>
      <c r="C12" s="11" t="s">
        <v>71</v>
      </c>
      <c r="D12" s="11" t="s">
        <v>71</v>
      </c>
      <c r="E12" s="11" t="s">
        <v>72</v>
      </c>
      <c r="F12" s="11" t="s">
        <v>72</v>
      </c>
      <c r="G12" s="11" t="s">
        <v>72</v>
      </c>
      <c r="H12" s="11" t="s">
        <v>67</v>
      </c>
      <c r="I12" s="11" t="s">
        <v>67</v>
      </c>
      <c r="J12" s="3">
        <f t="shared" si="0"/>
        <v>16</v>
      </c>
      <c r="K12" s="3">
        <f>IFERROR(VLOOKUP($A12,Mitarbeiter!$E$8:$P$17,5,FALSE),0)</f>
        <v>25</v>
      </c>
      <c r="L12" s="3">
        <f t="shared" si="1"/>
        <v>-9</v>
      </c>
      <c r="M12" s="11" t="str">
        <f t="shared" si="2"/>
        <v>Unter Soll</v>
      </c>
      <c r="N12" s="1"/>
      <c r="O12" s="1"/>
      <c r="P12" s="1" t="s">
        <v>52</v>
      </c>
      <c r="Q12" s="1">
        <f>COUNTIF(E$10:E$19,"F")</f>
        <v>3</v>
      </c>
      <c r="R12" s="1">
        <f>COUNTIF(E$10:E$19,"S")</f>
        <v>3</v>
      </c>
      <c r="S12" s="1">
        <f>COUNTIF(E$10:E$19,"N")</f>
        <v>0</v>
      </c>
      <c r="T12" s="1">
        <f>COUNTIF(E$10:E$19,"T")</f>
        <v>1</v>
      </c>
      <c r="U12" s="1">
        <f t="shared" si="3"/>
        <v>5</v>
      </c>
      <c r="V12" s="1" t="str">
        <f t="shared" si="4"/>
        <v>OK</v>
      </c>
    </row>
    <row r="13" spans="1:22" x14ac:dyDescent="0.25">
      <c r="A13" s="1" t="s">
        <v>73</v>
      </c>
      <c r="B13" s="1" t="str">
        <f>IFERROR(VLOOKUP($A13,Mitarbeiter!$E$8:$P$17,2,FALSE),"")</f>
        <v>Küche</v>
      </c>
      <c r="C13" s="11" t="s">
        <v>66</v>
      </c>
      <c r="D13" s="11" t="s">
        <v>66</v>
      </c>
      <c r="E13" s="11" t="s">
        <v>66</v>
      </c>
      <c r="F13" s="11" t="s">
        <v>66</v>
      </c>
      <c r="G13" s="11" t="s">
        <v>66</v>
      </c>
      <c r="H13" s="11" t="s">
        <v>67</v>
      </c>
      <c r="I13" s="11" t="s">
        <v>67</v>
      </c>
      <c r="J13" s="3">
        <f t="shared" si="0"/>
        <v>40</v>
      </c>
      <c r="K13" s="3">
        <f>IFERROR(VLOOKUP($A13,Mitarbeiter!$E$8:$P$17,5,FALSE),0)</f>
        <v>40</v>
      </c>
      <c r="L13" s="3">
        <f t="shared" si="1"/>
        <v>0</v>
      </c>
      <c r="M13" s="11" t="str">
        <f t="shared" si="2"/>
        <v>OK</v>
      </c>
      <c r="N13" s="1"/>
      <c r="O13" s="1"/>
      <c r="P13" s="1" t="s">
        <v>53</v>
      </c>
      <c r="Q13" s="1">
        <f>COUNTIF(F$10:F$19,"F")</f>
        <v>3</v>
      </c>
      <c r="R13" s="1">
        <f>COUNTIF(F$10:F$19,"S")</f>
        <v>2</v>
      </c>
      <c r="S13" s="1">
        <f>COUNTIF(F$10:F$19,"N")</f>
        <v>0</v>
      </c>
      <c r="T13" s="1">
        <f>COUNTIF(F$10:F$19,"T")</f>
        <v>2</v>
      </c>
      <c r="U13" s="1">
        <f t="shared" si="3"/>
        <v>5</v>
      </c>
      <c r="V13" s="1" t="str">
        <f t="shared" si="4"/>
        <v>OK</v>
      </c>
    </row>
    <row r="14" spans="1:22" x14ac:dyDescent="0.25">
      <c r="A14" s="1" t="s">
        <v>74</v>
      </c>
      <c r="B14" s="1" t="str">
        <f>IFERROR(VLOOKUP($A14,Mitarbeiter!$E$8:$P$17,2,FALSE),"")</f>
        <v>Service</v>
      </c>
      <c r="C14" s="11" t="s">
        <v>69</v>
      </c>
      <c r="D14" s="11" t="s">
        <v>69</v>
      </c>
      <c r="E14" s="11" t="s">
        <v>69</v>
      </c>
      <c r="F14" s="11" t="s">
        <v>75</v>
      </c>
      <c r="G14" s="11" t="s">
        <v>75</v>
      </c>
      <c r="H14" s="11" t="s">
        <v>67</v>
      </c>
      <c r="I14" s="11" t="s">
        <v>67</v>
      </c>
      <c r="J14" s="3">
        <f t="shared" si="0"/>
        <v>24</v>
      </c>
      <c r="K14" s="3">
        <f>IFERROR(VLOOKUP($A14,Mitarbeiter!$E$8:$P$17,5,FALSE),0)</f>
        <v>30</v>
      </c>
      <c r="L14" s="3">
        <f t="shared" si="1"/>
        <v>-6</v>
      </c>
      <c r="M14" s="11" t="str">
        <f t="shared" si="2"/>
        <v>Unter Soll</v>
      </c>
      <c r="N14" s="1"/>
      <c r="O14" s="1"/>
      <c r="P14" s="1" t="s">
        <v>54</v>
      </c>
      <c r="Q14" s="1">
        <f>COUNTIF(G$10:G$19,"F")</f>
        <v>3</v>
      </c>
      <c r="R14" s="1">
        <f>COUNTIF(G$10:G$19,"S")</f>
        <v>1</v>
      </c>
      <c r="S14" s="1">
        <f>COUNTIF(G$10:G$19,"N")</f>
        <v>0</v>
      </c>
      <c r="T14" s="1">
        <f>COUNTIF(G$10:G$19,"T")</f>
        <v>1</v>
      </c>
      <c r="U14" s="1">
        <f t="shared" si="3"/>
        <v>5</v>
      </c>
      <c r="V14" s="1" t="str">
        <f t="shared" si="4"/>
        <v>Unterbesetzt</v>
      </c>
    </row>
    <row r="15" spans="1:22" x14ac:dyDescent="0.25">
      <c r="A15" s="1" t="s">
        <v>76</v>
      </c>
      <c r="B15" s="1" t="str">
        <f>IFERROR(VLOOKUP($A15,Mitarbeiter!$E$8:$P$17,2,FALSE),"")</f>
        <v>Lager</v>
      </c>
      <c r="C15" s="11" t="s">
        <v>67</v>
      </c>
      <c r="D15" s="11" t="s">
        <v>71</v>
      </c>
      <c r="E15" s="11" t="s">
        <v>67</v>
      </c>
      <c r="F15" s="11" t="s">
        <v>71</v>
      </c>
      <c r="G15" s="11" t="s">
        <v>67</v>
      </c>
      <c r="H15" s="11" t="s">
        <v>71</v>
      </c>
      <c r="I15" s="11" t="s">
        <v>67</v>
      </c>
      <c r="J15" s="3">
        <f t="shared" si="0"/>
        <v>24</v>
      </c>
      <c r="K15" s="3">
        <f>IFERROR(VLOOKUP($A15,Mitarbeiter!$E$8:$P$17,5,FALSE),0)</f>
        <v>12</v>
      </c>
      <c r="L15" s="3">
        <f t="shared" si="1"/>
        <v>12</v>
      </c>
      <c r="M15" s="11" t="str">
        <f t="shared" si="2"/>
        <v>Überstunden</v>
      </c>
      <c r="N15" s="1"/>
      <c r="O15" s="1"/>
      <c r="P15" s="1" t="s">
        <v>55</v>
      </c>
      <c r="Q15" s="1">
        <f>COUNTIF(H$10:H$19,"F")</f>
        <v>0</v>
      </c>
      <c r="R15" s="1">
        <f>COUNTIF(H$10:H$19,"S")</f>
        <v>1</v>
      </c>
      <c r="S15" s="1">
        <f>COUNTIF(H$10:H$19,"N")</f>
        <v>0</v>
      </c>
      <c r="T15" s="1">
        <f>COUNTIF(H$10:H$19,"T")</f>
        <v>1</v>
      </c>
      <c r="U15" s="1">
        <f t="shared" si="3"/>
        <v>5</v>
      </c>
      <c r="V15" s="1" t="str">
        <f t="shared" si="4"/>
        <v>Unterbesetzt</v>
      </c>
    </row>
    <row r="16" spans="1:22" x14ac:dyDescent="0.25">
      <c r="A16" s="1" t="s">
        <v>77</v>
      </c>
      <c r="B16" s="1" t="str">
        <f>IFERROR(VLOOKUP($A16,Mitarbeiter!$E$8:$P$17,2,FALSE),"")</f>
        <v>Verkauf</v>
      </c>
      <c r="C16" s="11" t="s">
        <v>71</v>
      </c>
      <c r="D16" s="11" t="s">
        <v>67</v>
      </c>
      <c r="E16" s="11" t="s">
        <v>71</v>
      </c>
      <c r="F16" s="11" t="s">
        <v>67</v>
      </c>
      <c r="G16" s="11" t="s">
        <v>71</v>
      </c>
      <c r="H16" s="11" t="s">
        <v>67</v>
      </c>
      <c r="I16" s="11" t="s">
        <v>67</v>
      </c>
      <c r="J16" s="3">
        <f t="shared" si="0"/>
        <v>24</v>
      </c>
      <c r="K16" s="3">
        <f>IFERROR(VLOOKUP($A16,Mitarbeiter!$E$8:$P$17,5,FALSE),0)</f>
        <v>20</v>
      </c>
      <c r="L16" s="3">
        <f t="shared" si="1"/>
        <v>4</v>
      </c>
      <c r="M16" s="11" t="str">
        <f t="shared" si="2"/>
        <v>Überstunden</v>
      </c>
      <c r="N16" s="1"/>
      <c r="O16" s="1"/>
      <c r="P16" s="1" t="s">
        <v>56</v>
      </c>
      <c r="Q16" s="1">
        <f>COUNTIF(I$10:I$19,"F")</f>
        <v>0</v>
      </c>
      <c r="R16" s="1">
        <f>COUNTIF(I$10:I$19,"S")</f>
        <v>0</v>
      </c>
      <c r="S16" s="1">
        <f>COUNTIF(I$10:I$19,"N")</f>
        <v>0</v>
      </c>
      <c r="T16" s="1">
        <f>COUNTIF(I$10:I$19,"T")</f>
        <v>1</v>
      </c>
      <c r="U16" s="1">
        <f t="shared" si="3"/>
        <v>5</v>
      </c>
      <c r="V16" s="1" t="str">
        <f t="shared" si="4"/>
        <v>Unterbesetzt</v>
      </c>
    </row>
    <row r="17" spans="1:22" x14ac:dyDescent="0.25">
      <c r="A17" s="1" t="s">
        <v>78</v>
      </c>
      <c r="B17" s="1" t="str">
        <f>IFERROR(VLOOKUP($A17,Mitarbeiter!$E$8:$P$17,2,FALSE),"")</f>
        <v>Küche</v>
      </c>
      <c r="C17" s="11" t="s">
        <v>66</v>
      </c>
      <c r="D17" s="11" t="s">
        <v>66</v>
      </c>
      <c r="E17" s="11" t="s">
        <v>66</v>
      </c>
      <c r="F17" s="11" t="s">
        <v>66</v>
      </c>
      <c r="G17" s="11" t="s">
        <v>66</v>
      </c>
      <c r="H17" s="11" t="s">
        <v>67</v>
      </c>
      <c r="I17" s="11" t="s">
        <v>67</v>
      </c>
      <c r="J17" s="3">
        <f t="shared" si="0"/>
        <v>40</v>
      </c>
      <c r="K17" s="3">
        <f>IFERROR(VLOOKUP($A17,Mitarbeiter!$E$8:$P$17,5,FALSE),0)</f>
        <v>40</v>
      </c>
      <c r="L17" s="3">
        <f t="shared" si="1"/>
        <v>0</v>
      </c>
      <c r="M17" s="11" t="str">
        <f t="shared" si="2"/>
        <v>OK</v>
      </c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25">
      <c r="A18" s="1" t="s">
        <v>79</v>
      </c>
      <c r="B18" s="1" t="str">
        <f>IFERROR(VLOOKUP($A18,Mitarbeiter!$E$8:$P$17,2,FALSE),"")</f>
        <v>Verkauf</v>
      </c>
      <c r="C18" s="11" t="s">
        <v>69</v>
      </c>
      <c r="D18" s="11" t="s">
        <v>69</v>
      </c>
      <c r="E18" s="11" t="s">
        <v>69</v>
      </c>
      <c r="F18" s="11" t="s">
        <v>69</v>
      </c>
      <c r="G18" s="11" t="s">
        <v>67</v>
      </c>
      <c r="H18" s="11" t="s">
        <v>69</v>
      </c>
      <c r="I18" s="11" t="s">
        <v>67</v>
      </c>
      <c r="J18" s="3">
        <f t="shared" si="0"/>
        <v>40</v>
      </c>
      <c r="K18" s="3">
        <f>IFERROR(VLOOKUP($A18,Mitarbeiter!$E$8:$P$17,5,FALSE),0)</f>
        <v>32</v>
      </c>
      <c r="L18" s="3">
        <f t="shared" si="1"/>
        <v>8</v>
      </c>
      <c r="M18" s="11" t="str">
        <f t="shared" si="2"/>
        <v>Überstunden</v>
      </c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25">
      <c r="A19" s="1" t="s">
        <v>80</v>
      </c>
      <c r="B19" s="1" t="str">
        <f>IFERROR(VLOOKUP($A19,Mitarbeiter!$E$8:$P$17,2,FALSE),"")</f>
        <v>Aushilfe</v>
      </c>
      <c r="C19" s="11" t="s">
        <v>67</v>
      </c>
      <c r="D19" s="11" t="s">
        <v>71</v>
      </c>
      <c r="E19" s="11" t="s">
        <v>67</v>
      </c>
      <c r="F19" s="11" t="s">
        <v>71</v>
      </c>
      <c r="G19" s="11" t="s">
        <v>67</v>
      </c>
      <c r="H19" s="11" t="s">
        <v>67</v>
      </c>
      <c r="I19" s="11" t="s">
        <v>71</v>
      </c>
      <c r="J19" s="3">
        <f t="shared" si="0"/>
        <v>24</v>
      </c>
      <c r="K19" s="3">
        <f>IFERROR(VLOOKUP($A19,Mitarbeiter!$E$8:$P$17,5,FALSE),0)</f>
        <v>15</v>
      </c>
      <c r="L19" s="3">
        <f t="shared" si="1"/>
        <v>9</v>
      </c>
      <c r="M19" s="11" t="str">
        <f t="shared" si="2"/>
        <v>Überstunden</v>
      </c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25">
      <c r="A20" s="1"/>
      <c r="B20" s="1"/>
      <c r="C20" s="11"/>
      <c r="D20" s="11"/>
      <c r="E20" s="11"/>
      <c r="F20" s="11"/>
      <c r="G20" s="11"/>
      <c r="H20" s="11"/>
      <c r="I20" s="11"/>
      <c r="J20" s="3"/>
      <c r="K20" s="3"/>
      <c r="L20" s="3"/>
      <c r="M20" s="1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25">
      <c r="A21" s="1"/>
      <c r="B21" s="1"/>
      <c r="C21" s="11"/>
      <c r="D21" s="11"/>
      <c r="E21" s="11"/>
      <c r="F21" s="11"/>
      <c r="G21" s="11"/>
      <c r="H21" s="11"/>
      <c r="I21" s="11"/>
      <c r="J21" s="3"/>
      <c r="K21" s="3"/>
      <c r="L21" s="3"/>
      <c r="M21" s="1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25">
      <c r="A22" s="1"/>
      <c r="B22" s="1"/>
      <c r="C22" s="11"/>
      <c r="D22" s="11"/>
      <c r="E22" s="11"/>
      <c r="F22" s="11"/>
      <c r="G22" s="11"/>
      <c r="H22" s="11"/>
      <c r="I22" s="11"/>
      <c r="J22" s="3"/>
      <c r="K22" s="3"/>
      <c r="L22" s="3"/>
      <c r="M22" s="1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25">
      <c r="A23" s="1"/>
      <c r="B23" s="1"/>
      <c r="C23" s="11"/>
      <c r="D23" s="11"/>
      <c r="E23" s="11"/>
      <c r="F23" s="11"/>
      <c r="G23" s="11"/>
      <c r="H23" s="11"/>
      <c r="I23" s="11"/>
      <c r="J23" s="3"/>
      <c r="K23" s="3"/>
      <c r="L23" s="3"/>
      <c r="M23" s="1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25">
      <c r="A24" s="1"/>
      <c r="B24" s="1"/>
      <c r="C24" s="11"/>
      <c r="D24" s="11"/>
      <c r="E24" s="11"/>
      <c r="F24" s="11"/>
      <c r="G24" s="11"/>
      <c r="H24" s="11"/>
      <c r="I24" s="11"/>
      <c r="J24" s="3"/>
      <c r="K24" s="3"/>
      <c r="L24" s="3"/>
      <c r="M24" s="1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25">
      <c r="A25" s="1"/>
      <c r="B25" s="1"/>
      <c r="C25" s="11"/>
      <c r="D25" s="11"/>
      <c r="E25" s="11"/>
      <c r="F25" s="11"/>
      <c r="G25" s="11"/>
      <c r="H25" s="11"/>
      <c r="I25" s="11"/>
      <c r="J25" s="3"/>
      <c r="K25" s="3"/>
      <c r="L25" s="3"/>
      <c r="M25" s="1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25">
      <c r="A26" s="1"/>
      <c r="B26" s="1"/>
      <c r="C26" s="11"/>
      <c r="D26" s="11"/>
      <c r="E26" s="11"/>
      <c r="F26" s="11"/>
      <c r="G26" s="11"/>
      <c r="H26" s="11"/>
      <c r="I26" s="11"/>
      <c r="J26" s="3"/>
      <c r="K26" s="3"/>
      <c r="L26" s="3"/>
      <c r="M26" s="1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25">
      <c r="A27" s="1"/>
      <c r="B27" s="1"/>
      <c r="C27" s="11"/>
      <c r="D27" s="11"/>
      <c r="E27" s="11"/>
      <c r="F27" s="11"/>
      <c r="G27" s="11"/>
      <c r="H27" s="11"/>
      <c r="I27" s="11"/>
      <c r="J27" s="3"/>
      <c r="K27" s="3"/>
      <c r="L27" s="3"/>
      <c r="M27" s="1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25">
      <c r="A28" s="1"/>
      <c r="B28" s="1"/>
      <c r="C28" s="11"/>
      <c r="D28" s="11"/>
      <c r="E28" s="11"/>
      <c r="F28" s="11"/>
      <c r="G28" s="11"/>
      <c r="H28" s="11"/>
      <c r="I28" s="11"/>
      <c r="J28" s="3"/>
      <c r="K28" s="3"/>
      <c r="L28" s="3"/>
      <c r="M28" s="1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25">
      <c r="A29" s="1"/>
      <c r="B29" s="1"/>
      <c r="C29" s="11"/>
      <c r="D29" s="11"/>
      <c r="E29" s="11"/>
      <c r="F29" s="11"/>
      <c r="G29" s="11"/>
      <c r="H29" s="11"/>
      <c r="I29" s="11"/>
      <c r="J29" s="3"/>
      <c r="K29" s="3"/>
      <c r="L29" s="3"/>
      <c r="M29" s="1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25">
      <c r="A30" s="1"/>
      <c r="B30" s="1"/>
      <c r="C30" s="11"/>
      <c r="D30" s="11"/>
      <c r="E30" s="11"/>
      <c r="F30" s="11"/>
      <c r="G30" s="11"/>
      <c r="H30" s="11"/>
      <c r="I30" s="11"/>
      <c r="J30" s="3"/>
      <c r="K30" s="3"/>
      <c r="L30" s="3"/>
      <c r="M30" s="1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25">
      <c r="A31" s="1"/>
      <c r="B31" s="1"/>
      <c r="C31" s="11"/>
      <c r="D31" s="11"/>
      <c r="E31" s="11"/>
      <c r="F31" s="11"/>
      <c r="G31" s="11"/>
      <c r="H31" s="11"/>
      <c r="I31" s="11"/>
      <c r="J31" s="3"/>
      <c r="K31" s="3"/>
      <c r="L31" s="3"/>
      <c r="M31" s="1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25">
      <c r="A32" s="1"/>
      <c r="B32" s="1"/>
      <c r="C32" s="11"/>
      <c r="D32" s="11"/>
      <c r="E32" s="11"/>
      <c r="F32" s="11"/>
      <c r="G32" s="11"/>
      <c r="H32" s="11"/>
      <c r="I32" s="11"/>
      <c r="J32" s="3"/>
      <c r="K32" s="3"/>
      <c r="L32" s="3"/>
      <c r="M32" s="1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25">
      <c r="A33" s="1"/>
      <c r="B33" s="1"/>
      <c r="C33" s="11"/>
      <c r="D33" s="11"/>
      <c r="E33" s="11"/>
      <c r="F33" s="11"/>
      <c r="G33" s="11"/>
      <c r="H33" s="11"/>
      <c r="I33" s="11"/>
      <c r="J33" s="3"/>
      <c r="K33" s="3"/>
      <c r="L33" s="3"/>
      <c r="M33" s="1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25">
      <c r="A34" s="1"/>
      <c r="B34" s="1"/>
      <c r="C34" s="11"/>
      <c r="D34" s="11"/>
      <c r="E34" s="11"/>
      <c r="F34" s="11"/>
      <c r="G34" s="11"/>
      <c r="H34" s="11"/>
      <c r="I34" s="11"/>
      <c r="J34" s="3"/>
      <c r="K34" s="3"/>
      <c r="L34" s="3"/>
      <c r="M34" s="1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25">
      <c r="A35" s="1"/>
      <c r="B35" s="1"/>
      <c r="C35" s="11"/>
      <c r="D35" s="11"/>
      <c r="E35" s="11"/>
      <c r="F35" s="11"/>
      <c r="G35" s="11"/>
      <c r="H35" s="11"/>
      <c r="I35" s="11"/>
      <c r="J35" s="3"/>
      <c r="K35" s="3"/>
      <c r="L35" s="3"/>
      <c r="M35" s="11"/>
      <c r="N35" s="1"/>
      <c r="O35" s="1"/>
      <c r="P35" s="1"/>
      <c r="Q35" s="1"/>
      <c r="R35" s="1"/>
      <c r="S35" s="1"/>
      <c r="T35" s="1"/>
      <c r="U35" s="1"/>
      <c r="V35" s="1"/>
    </row>
    <row r="36" spans="1:22" x14ac:dyDescent="0.25">
      <c r="A36" s="1"/>
      <c r="B36" s="1"/>
      <c r="C36" s="11"/>
      <c r="D36" s="11"/>
      <c r="E36" s="11"/>
      <c r="F36" s="11"/>
      <c r="G36" s="11"/>
      <c r="H36" s="11"/>
      <c r="I36" s="11"/>
      <c r="J36" s="3"/>
      <c r="K36" s="3"/>
      <c r="L36" s="3"/>
      <c r="M36" s="11"/>
      <c r="N36" s="1"/>
      <c r="O36" s="1"/>
      <c r="P36" s="1"/>
      <c r="Q36" s="1"/>
      <c r="R36" s="1"/>
      <c r="S36" s="1"/>
      <c r="T36" s="1"/>
      <c r="U36" s="1"/>
      <c r="V36" s="1"/>
    </row>
    <row r="37" spans="1:22" x14ac:dyDescent="0.25">
      <c r="A37" s="1"/>
      <c r="B37" s="1"/>
      <c r="C37" s="11"/>
      <c r="D37" s="11"/>
      <c r="E37" s="11"/>
      <c r="F37" s="11"/>
      <c r="G37" s="11"/>
      <c r="H37" s="11"/>
      <c r="I37" s="11"/>
      <c r="J37" s="3"/>
      <c r="K37" s="3"/>
      <c r="L37" s="3"/>
      <c r="M37" s="11"/>
      <c r="N37" s="1"/>
      <c r="O37" s="1"/>
      <c r="P37" s="1"/>
      <c r="Q37" s="1"/>
      <c r="R37" s="1"/>
      <c r="S37" s="1"/>
      <c r="T37" s="1"/>
      <c r="U37" s="1"/>
      <c r="V37" s="1"/>
    </row>
    <row r="38" spans="1:22" x14ac:dyDescent="0.25">
      <c r="A38" s="1"/>
      <c r="B38" s="1"/>
      <c r="C38" s="11"/>
      <c r="D38" s="11"/>
      <c r="E38" s="11"/>
      <c r="F38" s="11"/>
      <c r="G38" s="11"/>
      <c r="H38" s="11"/>
      <c r="I38" s="11"/>
      <c r="J38" s="3"/>
      <c r="K38" s="3"/>
      <c r="L38" s="3"/>
      <c r="M38" s="11"/>
      <c r="N38" s="1"/>
      <c r="O38" s="1"/>
      <c r="P38" s="1"/>
      <c r="Q38" s="1"/>
      <c r="R38" s="1"/>
      <c r="S38" s="1"/>
      <c r="T38" s="1"/>
      <c r="U38" s="1"/>
      <c r="V38" s="1"/>
    </row>
    <row r="39" spans="1:22" x14ac:dyDescent="0.25">
      <c r="A39" s="1"/>
      <c r="B39" s="1"/>
      <c r="C39" s="11"/>
      <c r="D39" s="11"/>
      <c r="E39" s="11"/>
      <c r="F39" s="11"/>
      <c r="G39" s="11"/>
      <c r="H39" s="11"/>
      <c r="I39" s="11"/>
      <c r="J39" s="3"/>
      <c r="K39" s="3"/>
      <c r="L39" s="3"/>
      <c r="M39" s="11"/>
      <c r="N39" s="1"/>
      <c r="O39" s="1"/>
      <c r="P39" s="1"/>
      <c r="Q39" s="1"/>
      <c r="R39" s="1"/>
      <c r="S39" s="1"/>
      <c r="T39" s="1"/>
      <c r="U39" s="1"/>
      <c r="V39" s="1"/>
    </row>
    <row r="40" spans="1:22" x14ac:dyDescent="0.25">
      <c r="A40" s="1"/>
      <c r="B40" s="1"/>
      <c r="C40" s="11"/>
      <c r="D40" s="11"/>
      <c r="E40" s="11"/>
      <c r="F40" s="11"/>
      <c r="G40" s="11"/>
      <c r="H40" s="11"/>
      <c r="I40" s="11"/>
      <c r="J40" s="3"/>
      <c r="K40" s="3"/>
      <c r="L40" s="3"/>
      <c r="M40" s="11"/>
      <c r="N40" s="1"/>
      <c r="O40" s="1"/>
      <c r="P40" s="1"/>
      <c r="Q40" s="1"/>
      <c r="R40" s="1"/>
      <c r="S40" s="1"/>
      <c r="T40" s="1"/>
      <c r="U40" s="1"/>
      <c r="V40" s="1"/>
    </row>
    <row r="41" spans="1:2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</sheetData>
  <mergeCells count="2">
    <mergeCell ref="A1:N1"/>
    <mergeCell ref="P7:V7"/>
  </mergeCells>
  <conditionalFormatting sqref="C10:I40">
    <cfRule type="expression" dxfId="27" priority="1">
      <formula>C10="F"</formula>
    </cfRule>
    <cfRule type="expression" dxfId="26" priority="2">
      <formula>C10="S"</formula>
    </cfRule>
    <cfRule type="expression" dxfId="25" priority="3">
      <formula>C10="N"</formula>
    </cfRule>
    <cfRule type="expression" dxfId="24" priority="4">
      <formula>C10="T"</formula>
    </cfRule>
    <cfRule type="expression" dxfId="23" priority="5">
      <formula>C10="U"</formula>
    </cfRule>
    <cfRule type="expression" dxfId="22" priority="6">
      <formula>C10="K"</formula>
    </cfRule>
    <cfRule type="expression" dxfId="21" priority="7">
      <formula>C10="Frei"</formula>
    </cfRule>
  </conditionalFormatting>
  <conditionalFormatting sqref="M10:M40">
    <cfRule type="expression" dxfId="20" priority="13">
      <formula>$M10="OK"</formula>
    </cfRule>
    <cfRule type="expression" dxfId="19" priority="14">
      <formula>$M10="Überstunden"</formula>
    </cfRule>
    <cfRule type="expression" dxfId="18" priority="15">
      <formula>$M10="Unter Soll"</formula>
    </cfRule>
  </conditionalFormatting>
  <conditionalFormatting sqref="V10:V16">
    <cfRule type="expression" dxfId="17" priority="16">
      <formula>$V10="OK"</formula>
    </cfRule>
    <cfRule type="expression" dxfId="16" priority="17">
      <formula>$V10="Unterbesetzt"</formula>
    </cfRule>
  </conditionalFormatting>
  <pageMargins left="0.7" right="0.7" top="0.75" bottom="0.75" header="0.3" footer="0.3"/>
  <tableParts count="2">
    <tablePart r:id="rId1"/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100-000000000000}">
          <x14:formula1>
            <xm:f>Mitarbeiter!$E$8:$E$17</xm:f>
          </x14:formula1>
          <xm:sqref>A10:A40</xm:sqref>
        </x14:dataValidation>
        <x14:dataValidation type="list" allowBlank="1" xr:uid="{00000000-0002-0000-0100-000001000000}">
          <x14:formula1>
            <xm:f>Listen!$A$4:$A$10</xm:f>
          </x14:formula1>
          <xm:sqref>C10:I40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60"/>
  <sheetViews>
    <sheetView workbookViewId="0"/>
  </sheetViews>
  <sheetFormatPr baseColWidth="10" defaultColWidth="9" defaultRowHeight="15" x14ac:dyDescent="0.25"/>
  <cols>
    <col min="1" max="1" width="20" customWidth="1"/>
    <col min="2" max="2" width="17" customWidth="1"/>
    <col min="3" max="33" width="5.25" customWidth="1"/>
    <col min="34" max="34" width="14" customWidth="1"/>
    <col min="35" max="35" width="17" customWidth="1"/>
    <col min="36" max="37" width="12" customWidth="1"/>
    <col min="38" max="38" width="13" customWidth="1"/>
    <col min="39" max="39" width="14" customWidth="1"/>
  </cols>
  <sheetData>
    <row r="1" spans="1:39" ht="32.1" customHeight="1" x14ac:dyDescent="0.25">
      <c r="A1" s="18" t="s">
        <v>81</v>
      </c>
      <c r="B1" s="18" t="s">
        <v>81</v>
      </c>
      <c r="C1" s="18" t="s">
        <v>81</v>
      </c>
      <c r="D1" s="18" t="s">
        <v>81</v>
      </c>
      <c r="E1" s="18" t="s">
        <v>81</v>
      </c>
      <c r="F1" s="18" t="s">
        <v>81</v>
      </c>
      <c r="G1" s="18" t="s">
        <v>81</v>
      </c>
      <c r="H1" s="18" t="s">
        <v>81</v>
      </c>
      <c r="I1" s="18" t="s">
        <v>81</v>
      </c>
      <c r="J1" s="18" t="s">
        <v>81</v>
      </c>
      <c r="K1" s="18" t="s">
        <v>81</v>
      </c>
      <c r="L1" s="18" t="s">
        <v>81</v>
      </c>
      <c r="M1" s="18" t="s">
        <v>81</v>
      </c>
      <c r="N1" s="18" t="s">
        <v>81</v>
      </c>
      <c r="O1" s="18" t="s">
        <v>81</v>
      </c>
      <c r="P1" s="18" t="s">
        <v>81</v>
      </c>
      <c r="Q1" s="18" t="s">
        <v>81</v>
      </c>
      <c r="R1" s="18" t="s">
        <v>81</v>
      </c>
      <c r="S1" s="18" t="s">
        <v>81</v>
      </c>
      <c r="T1" s="18" t="s">
        <v>81</v>
      </c>
      <c r="U1" s="18" t="s">
        <v>81</v>
      </c>
      <c r="V1" s="18" t="s">
        <v>81</v>
      </c>
      <c r="W1" s="18" t="s">
        <v>81</v>
      </c>
      <c r="X1" s="18" t="s">
        <v>81</v>
      </c>
      <c r="Y1" s="18" t="s">
        <v>81</v>
      </c>
      <c r="Z1" s="18" t="s">
        <v>81</v>
      </c>
      <c r="AA1" s="18" t="s">
        <v>81</v>
      </c>
      <c r="AB1" s="18" t="s">
        <v>81</v>
      </c>
      <c r="AC1" s="18" t="s">
        <v>81</v>
      </c>
      <c r="AD1" s="18" t="s">
        <v>81</v>
      </c>
      <c r="AE1" s="18" t="s">
        <v>81</v>
      </c>
      <c r="AF1" s="18" t="s">
        <v>81</v>
      </c>
      <c r="AG1" s="18" t="s">
        <v>81</v>
      </c>
      <c r="AH1" s="18" t="s">
        <v>81</v>
      </c>
      <c r="AI1" s="18" t="s">
        <v>81</v>
      </c>
      <c r="AJ1" s="18" t="s">
        <v>81</v>
      </c>
      <c r="AK1" s="18" t="s">
        <v>81</v>
      </c>
      <c r="AL1" s="18" t="s">
        <v>81</v>
      </c>
      <c r="AM1" s="18" t="s">
        <v>81</v>
      </c>
    </row>
    <row r="2" spans="1:39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ht="24" customHeight="1" x14ac:dyDescent="0.25">
      <c r="A3" s="9" t="s">
        <v>82</v>
      </c>
      <c r="B3" s="10" t="str">
        <f>Übersicht!B5</f>
        <v>Mai</v>
      </c>
      <c r="C3" s="1"/>
      <c r="D3" s="9" t="s">
        <v>83</v>
      </c>
      <c r="E3" s="10" t="s">
        <v>6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</row>
    <row r="4" spans="1:39" x14ac:dyDescent="0.25">
      <c r="A4" s="9" t="s">
        <v>84</v>
      </c>
      <c r="B4" s="10">
        <f>Übersicht!B6</f>
        <v>2026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1:39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</row>
    <row r="7" spans="1:39" ht="24" customHeight="1" x14ac:dyDescent="0.25">
      <c r="A7" s="2" t="s">
        <v>32</v>
      </c>
      <c r="B7" s="2" t="s">
        <v>33</v>
      </c>
      <c r="C7" s="2" t="s">
        <v>219</v>
      </c>
      <c r="D7" s="2" t="s">
        <v>220</v>
      </c>
      <c r="E7" s="2" t="s">
        <v>221</v>
      </c>
      <c r="F7" s="2" t="s">
        <v>222</v>
      </c>
      <c r="G7" s="2" t="s">
        <v>223</v>
      </c>
      <c r="H7" s="2" t="s">
        <v>224</v>
      </c>
      <c r="I7" s="2" t="s">
        <v>225</v>
      </c>
      <c r="J7" s="2" t="s">
        <v>226</v>
      </c>
      <c r="K7" s="2" t="s">
        <v>227</v>
      </c>
      <c r="L7" s="2" t="s">
        <v>228</v>
      </c>
      <c r="M7" s="2" t="s">
        <v>229</v>
      </c>
      <c r="N7" s="2" t="s">
        <v>230</v>
      </c>
      <c r="O7" s="2" t="s">
        <v>231</v>
      </c>
      <c r="P7" s="2" t="s">
        <v>232</v>
      </c>
      <c r="Q7" s="2" t="s">
        <v>233</v>
      </c>
      <c r="R7" s="2" t="s">
        <v>234</v>
      </c>
      <c r="S7" s="2" t="s">
        <v>235</v>
      </c>
      <c r="T7" s="2" t="s">
        <v>236</v>
      </c>
      <c r="U7" s="2" t="s">
        <v>237</v>
      </c>
      <c r="V7" s="2" t="s">
        <v>238</v>
      </c>
      <c r="W7" s="2" t="s">
        <v>239</v>
      </c>
      <c r="X7" s="2" t="s">
        <v>240</v>
      </c>
      <c r="Y7" s="2" t="s">
        <v>241</v>
      </c>
      <c r="Z7" s="2" t="s">
        <v>242</v>
      </c>
      <c r="AA7" s="2" t="s">
        <v>243</v>
      </c>
      <c r="AB7" s="2" t="s">
        <v>244</v>
      </c>
      <c r="AC7" s="2" t="s">
        <v>245</v>
      </c>
      <c r="AD7" s="2" t="s">
        <v>246</v>
      </c>
      <c r="AE7" s="2" t="s">
        <v>247</v>
      </c>
      <c r="AF7" s="2" t="s">
        <v>248</v>
      </c>
      <c r="AG7" s="2" t="s">
        <v>249</v>
      </c>
      <c r="AH7" s="2" t="s">
        <v>85</v>
      </c>
      <c r="AI7" s="2" t="s">
        <v>86</v>
      </c>
      <c r="AJ7" s="2" t="s">
        <v>34</v>
      </c>
      <c r="AK7" s="2" t="s">
        <v>87</v>
      </c>
      <c r="AL7" s="2" t="s">
        <v>88</v>
      </c>
      <c r="AM7" s="2" t="s">
        <v>30</v>
      </c>
    </row>
    <row r="8" spans="1:39" x14ac:dyDescent="0.25">
      <c r="A8" s="1" t="s">
        <v>65</v>
      </c>
      <c r="B8" s="1" t="str">
        <f>IFERROR(VLOOKUP($A8,Mitarbeiter!$E$8:$P$17,2,FALSE),"")</f>
        <v>Filialleitung</v>
      </c>
      <c r="C8" s="11" t="s">
        <v>66</v>
      </c>
      <c r="D8" s="11" t="s">
        <v>66</v>
      </c>
      <c r="E8" s="11" t="s">
        <v>67</v>
      </c>
      <c r="F8" s="11" t="s">
        <v>66</v>
      </c>
      <c r="G8" s="11" t="s">
        <v>66</v>
      </c>
      <c r="H8" s="11" t="s">
        <v>66</v>
      </c>
      <c r="I8" s="11" t="s">
        <v>66</v>
      </c>
      <c r="J8" s="11" t="s">
        <v>66</v>
      </c>
      <c r="K8" s="11" t="s">
        <v>66</v>
      </c>
      <c r="L8" s="11" t="s">
        <v>67</v>
      </c>
      <c r="M8" s="11" t="s">
        <v>66</v>
      </c>
      <c r="N8" s="11" t="s">
        <v>66</v>
      </c>
      <c r="O8" s="11" t="s">
        <v>66</v>
      </c>
      <c r="P8" s="11" t="s">
        <v>66</v>
      </c>
      <c r="Q8" s="11" t="s">
        <v>66</v>
      </c>
      <c r="R8" s="11" t="s">
        <v>66</v>
      </c>
      <c r="S8" s="11" t="s">
        <v>67</v>
      </c>
      <c r="T8" s="11" t="s">
        <v>66</v>
      </c>
      <c r="U8" s="11" t="s">
        <v>66</v>
      </c>
      <c r="V8" s="11" t="s">
        <v>66</v>
      </c>
      <c r="W8" s="11" t="s">
        <v>66</v>
      </c>
      <c r="X8" s="11" t="s">
        <v>66</v>
      </c>
      <c r="Y8" s="11" t="s">
        <v>66</v>
      </c>
      <c r="Z8" s="11" t="s">
        <v>67</v>
      </c>
      <c r="AA8" s="11" t="s">
        <v>66</v>
      </c>
      <c r="AB8" s="11" t="s">
        <v>66</v>
      </c>
      <c r="AC8" s="11" t="s">
        <v>66</v>
      </c>
      <c r="AD8" s="11" t="s">
        <v>66</v>
      </c>
      <c r="AE8" s="11" t="s">
        <v>66</v>
      </c>
      <c r="AF8" s="11" t="s">
        <v>66</v>
      </c>
      <c r="AG8" s="11" t="s">
        <v>67</v>
      </c>
      <c r="AH8" s="3">
        <f t="shared" ref="AH8:AH17" si="0">COUNTIF(C8:AG8,"F")*8+COUNTIF(C8:AG8,"S")*8+COUNTIF(C8:AG8,"N")*8+COUNTIF(C8:AG8,"T")*8</f>
        <v>208</v>
      </c>
      <c r="AI8" s="3">
        <f>IFERROR(VLOOKUP($A8,Mitarbeiter!$E$8:$P$17,6,FALSE),0)</f>
        <v>174</v>
      </c>
      <c r="AJ8" s="3">
        <f t="shared" ref="AJ8:AJ17" si="1">AH8-AI8</f>
        <v>34</v>
      </c>
      <c r="AK8" s="7">
        <f t="shared" ref="AK8:AK17" si="2">COUNTIF(C8:AG8,"U")</f>
        <v>0</v>
      </c>
      <c r="AL8" s="7">
        <f t="shared" ref="AL8:AL17" si="3">COUNTIF(C8:AG8,"K")</f>
        <v>0</v>
      </c>
      <c r="AM8" s="11" t="str">
        <f t="shared" ref="AM8:AM17" si="4">IF(AJ8&gt;2,"Überstunden",IF(AJ8&lt;-2,"Unter Soll","OK"))</f>
        <v>Überstunden</v>
      </c>
    </row>
    <row r="9" spans="1:39" x14ac:dyDescent="0.25">
      <c r="A9" s="1" t="s">
        <v>68</v>
      </c>
      <c r="B9" s="1" t="str">
        <f>IFERROR(VLOOKUP($A9,Mitarbeiter!$E$8:$P$17,2,FALSE),"")</f>
        <v>Schichtleitung</v>
      </c>
      <c r="C9" s="11" t="s">
        <v>69</v>
      </c>
      <c r="D9" s="11" t="s">
        <v>69</v>
      </c>
      <c r="E9" s="11" t="s">
        <v>67</v>
      </c>
      <c r="F9" s="11" t="s">
        <v>69</v>
      </c>
      <c r="G9" s="11" t="s">
        <v>69</v>
      </c>
      <c r="H9" s="11" t="s">
        <v>69</v>
      </c>
      <c r="I9" s="11" t="s">
        <v>69</v>
      </c>
      <c r="J9" s="11" t="s">
        <v>69</v>
      </c>
      <c r="K9" s="11" t="s">
        <v>69</v>
      </c>
      <c r="L9" s="11" t="s">
        <v>67</v>
      </c>
      <c r="M9" s="11" t="s">
        <v>69</v>
      </c>
      <c r="N9" s="11" t="s">
        <v>69</v>
      </c>
      <c r="O9" s="11" t="s">
        <v>69</v>
      </c>
      <c r="P9" s="11" t="s">
        <v>69</v>
      </c>
      <c r="Q9" s="11" t="s">
        <v>69</v>
      </c>
      <c r="R9" s="11" t="s">
        <v>69</v>
      </c>
      <c r="S9" s="11" t="s">
        <v>67</v>
      </c>
      <c r="T9" s="11" t="s">
        <v>69</v>
      </c>
      <c r="U9" s="11" t="s">
        <v>69</v>
      </c>
      <c r="V9" s="11" t="s">
        <v>69</v>
      </c>
      <c r="W9" s="11" t="s">
        <v>69</v>
      </c>
      <c r="X9" s="11" t="s">
        <v>69</v>
      </c>
      <c r="Y9" s="11" t="s">
        <v>69</v>
      </c>
      <c r="Z9" s="11" t="s">
        <v>67</v>
      </c>
      <c r="AA9" s="11" t="s">
        <v>69</v>
      </c>
      <c r="AB9" s="11" t="s">
        <v>69</v>
      </c>
      <c r="AC9" s="11" t="s">
        <v>69</v>
      </c>
      <c r="AD9" s="11" t="s">
        <v>69</v>
      </c>
      <c r="AE9" s="11" t="s">
        <v>69</v>
      </c>
      <c r="AF9" s="11" t="s">
        <v>69</v>
      </c>
      <c r="AG9" s="11" t="s">
        <v>67</v>
      </c>
      <c r="AH9" s="3">
        <f t="shared" si="0"/>
        <v>208</v>
      </c>
      <c r="AI9" s="3">
        <f>IFERROR(VLOOKUP($A9,Mitarbeiter!$E$8:$P$17,6,FALSE),0)</f>
        <v>167</v>
      </c>
      <c r="AJ9" s="3">
        <f t="shared" si="1"/>
        <v>41</v>
      </c>
      <c r="AK9" s="7">
        <f t="shared" si="2"/>
        <v>0</v>
      </c>
      <c r="AL9" s="7">
        <f t="shared" si="3"/>
        <v>0</v>
      </c>
      <c r="AM9" s="11" t="str">
        <f t="shared" si="4"/>
        <v>Überstunden</v>
      </c>
    </row>
    <row r="10" spans="1:39" x14ac:dyDescent="0.25">
      <c r="A10" s="1" t="s">
        <v>70</v>
      </c>
      <c r="B10" s="1" t="str">
        <f>IFERROR(VLOOKUP($A10,Mitarbeiter!$E$8:$P$17,2,FALSE),"")</f>
        <v>Verkauf</v>
      </c>
      <c r="C10" s="11" t="s">
        <v>67</v>
      </c>
      <c r="D10" s="11" t="s">
        <v>67</v>
      </c>
      <c r="E10" s="11" t="s">
        <v>67</v>
      </c>
      <c r="F10" s="11" t="s">
        <v>71</v>
      </c>
      <c r="G10" s="11" t="s">
        <v>71</v>
      </c>
      <c r="H10" s="11" t="s">
        <v>71</v>
      </c>
      <c r="I10" s="11" t="s">
        <v>71</v>
      </c>
      <c r="J10" s="11" t="s">
        <v>67</v>
      </c>
      <c r="K10" s="11" t="s">
        <v>67</v>
      </c>
      <c r="L10" s="11" t="s">
        <v>67</v>
      </c>
      <c r="M10" s="11" t="s">
        <v>72</v>
      </c>
      <c r="N10" s="11" t="s">
        <v>72</v>
      </c>
      <c r="O10" s="11" t="s">
        <v>72</v>
      </c>
      <c r="P10" s="11" t="s">
        <v>72</v>
      </c>
      <c r="Q10" s="11" t="s">
        <v>72</v>
      </c>
      <c r="R10" s="11" t="s">
        <v>67</v>
      </c>
      <c r="S10" s="11" t="s">
        <v>67</v>
      </c>
      <c r="T10" s="11" t="s">
        <v>71</v>
      </c>
      <c r="U10" s="11" t="s">
        <v>71</v>
      </c>
      <c r="V10" s="11" t="s">
        <v>71</v>
      </c>
      <c r="W10" s="11" t="s">
        <v>71</v>
      </c>
      <c r="X10" s="11" t="s">
        <v>67</v>
      </c>
      <c r="Y10" s="11" t="s">
        <v>67</v>
      </c>
      <c r="Z10" s="11" t="s">
        <v>67</v>
      </c>
      <c r="AA10" s="11" t="s">
        <v>71</v>
      </c>
      <c r="AB10" s="11" t="s">
        <v>71</v>
      </c>
      <c r="AC10" s="11" t="s">
        <v>71</v>
      </c>
      <c r="AD10" s="11" t="s">
        <v>71</v>
      </c>
      <c r="AE10" s="11" t="s">
        <v>67</v>
      </c>
      <c r="AF10" s="11" t="s">
        <v>67</v>
      </c>
      <c r="AG10" s="11" t="s">
        <v>67</v>
      </c>
      <c r="AH10" s="3">
        <f t="shared" si="0"/>
        <v>96</v>
      </c>
      <c r="AI10" s="3">
        <f>IFERROR(VLOOKUP($A10,Mitarbeiter!$E$8:$P$17,6,FALSE),0)</f>
        <v>108</v>
      </c>
      <c r="AJ10" s="3">
        <f t="shared" si="1"/>
        <v>-12</v>
      </c>
      <c r="AK10" s="7">
        <f t="shared" si="2"/>
        <v>5</v>
      </c>
      <c r="AL10" s="7">
        <f t="shared" si="3"/>
        <v>0</v>
      </c>
      <c r="AM10" s="11" t="str">
        <f t="shared" si="4"/>
        <v>Unter Soll</v>
      </c>
    </row>
    <row r="11" spans="1:39" x14ac:dyDescent="0.25">
      <c r="A11" s="1" t="s">
        <v>73</v>
      </c>
      <c r="B11" s="1" t="str">
        <f>IFERROR(VLOOKUP($A11,Mitarbeiter!$E$8:$P$17,2,FALSE),"")</f>
        <v>Küche</v>
      </c>
      <c r="C11" s="11" t="s">
        <v>66</v>
      </c>
      <c r="D11" s="11" t="s">
        <v>67</v>
      </c>
      <c r="E11" s="11" t="s">
        <v>67</v>
      </c>
      <c r="F11" s="11" t="s">
        <v>66</v>
      </c>
      <c r="G11" s="11" t="s">
        <v>66</v>
      </c>
      <c r="H11" s="11" t="s">
        <v>66</v>
      </c>
      <c r="I11" s="11" t="s">
        <v>66</v>
      </c>
      <c r="J11" s="11" t="s">
        <v>66</v>
      </c>
      <c r="K11" s="11" t="s">
        <v>67</v>
      </c>
      <c r="L11" s="11" t="s">
        <v>67</v>
      </c>
      <c r="M11" s="11" t="s">
        <v>66</v>
      </c>
      <c r="N11" s="11" t="s">
        <v>66</v>
      </c>
      <c r="O11" s="11" t="s">
        <v>66</v>
      </c>
      <c r="P11" s="11" t="s">
        <v>66</v>
      </c>
      <c r="Q11" s="11" t="s">
        <v>66</v>
      </c>
      <c r="R11" s="11" t="s">
        <v>67</v>
      </c>
      <c r="S11" s="11" t="s">
        <v>67</v>
      </c>
      <c r="T11" s="11" t="s">
        <v>66</v>
      </c>
      <c r="U11" s="11" t="s">
        <v>66</v>
      </c>
      <c r="V11" s="11" t="s">
        <v>66</v>
      </c>
      <c r="W11" s="11" t="s">
        <v>66</v>
      </c>
      <c r="X11" s="11" t="s">
        <v>66</v>
      </c>
      <c r="Y11" s="11" t="s">
        <v>67</v>
      </c>
      <c r="Z11" s="11" t="s">
        <v>67</v>
      </c>
      <c r="AA11" s="11" t="s">
        <v>66</v>
      </c>
      <c r="AB11" s="11" t="s">
        <v>66</v>
      </c>
      <c r="AC11" s="11" t="s">
        <v>66</v>
      </c>
      <c r="AD11" s="11" t="s">
        <v>66</v>
      </c>
      <c r="AE11" s="11" t="s">
        <v>66</v>
      </c>
      <c r="AF11" s="11" t="s">
        <v>67</v>
      </c>
      <c r="AG11" s="11" t="s">
        <v>67</v>
      </c>
      <c r="AH11" s="3">
        <f t="shared" si="0"/>
        <v>168</v>
      </c>
      <c r="AI11" s="3">
        <f>IFERROR(VLOOKUP($A11,Mitarbeiter!$E$8:$P$17,6,FALSE),0)</f>
        <v>174</v>
      </c>
      <c r="AJ11" s="3">
        <f t="shared" si="1"/>
        <v>-6</v>
      </c>
      <c r="AK11" s="7">
        <f t="shared" si="2"/>
        <v>0</v>
      </c>
      <c r="AL11" s="7">
        <f t="shared" si="3"/>
        <v>0</v>
      </c>
      <c r="AM11" s="11" t="str">
        <f t="shared" si="4"/>
        <v>Unter Soll</v>
      </c>
    </row>
    <row r="12" spans="1:39" x14ac:dyDescent="0.25">
      <c r="A12" s="1" t="s">
        <v>74</v>
      </c>
      <c r="B12" s="1" t="str">
        <f>IFERROR(VLOOKUP($A12,Mitarbeiter!$E$8:$P$17,2,FALSE),"")</f>
        <v>Service</v>
      </c>
      <c r="C12" s="11" t="s">
        <v>67</v>
      </c>
      <c r="D12" s="11" t="s">
        <v>67</v>
      </c>
      <c r="E12" s="11" t="s">
        <v>67</v>
      </c>
      <c r="F12" s="11" t="s">
        <v>69</v>
      </c>
      <c r="G12" s="11" t="s">
        <v>69</v>
      </c>
      <c r="H12" s="11" t="s">
        <v>69</v>
      </c>
      <c r="I12" s="11" t="s">
        <v>69</v>
      </c>
      <c r="J12" s="11" t="s">
        <v>67</v>
      </c>
      <c r="K12" s="11" t="s">
        <v>67</v>
      </c>
      <c r="L12" s="11" t="s">
        <v>67</v>
      </c>
      <c r="M12" s="11" t="s">
        <v>69</v>
      </c>
      <c r="N12" s="11" t="s">
        <v>69</v>
      </c>
      <c r="O12" s="11" t="s">
        <v>69</v>
      </c>
      <c r="P12" s="11" t="s">
        <v>69</v>
      </c>
      <c r="Q12" s="11" t="s">
        <v>67</v>
      </c>
      <c r="R12" s="11" t="s">
        <v>67</v>
      </c>
      <c r="S12" s="11" t="s">
        <v>67</v>
      </c>
      <c r="T12" s="11" t="s">
        <v>69</v>
      </c>
      <c r="U12" s="11" t="s">
        <v>69</v>
      </c>
      <c r="V12" s="11" t="s">
        <v>75</v>
      </c>
      <c r="W12" s="11" t="s">
        <v>75</v>
      </c>
      <c r="X12" s="11" t="s">
        <v>67</v>
      </c>
      <c r="Y12" s="11" t="s">
        <v>67</v>
      </c>
      <c r="Z12" s="11" t="s">
        <v>67</v>
      </c>
      <c r="AA12" s="11" t="s">
        <v>69</v>
      </c>
      <c r="AB12" s="11" t="s">
        <v>69</v>
      </c>
      <c r="AC12" s="11" t="s">
        <v>69</v>
      </c>
      <c r="AD12" s="11" t="s">
        <v>69</v>
      </c>
      <c r="AE12" s="11" t="s">
        <v>67</v>
      </c>
      <c r="AF12" s="11" t="s">
        <v>67</v>
      </c>
      <c r="AG12" s="11" t="s">
        <v>67</v>
      </c>
      <c r="AH12" s="3">
        <f t="shared" si="0"/>
        <v>112</v>
      </c>
      <c r="AI12" s="3">
        <f>IFERROR(VLOOKUP($A12,Mitarbeiter!$E$8:$P$17,6,FALSE),0)</f>
        <v>130</v>
      </c>
      <c r="AJ12" s="3">
        <f t="shared" si="1"/>
        <v>-18</v>
      </c>
      <c r="AK12" s="7">
        <f t="shared" si="2"/>
        <v>0</v>
      </c>
      <c r="AL12" s="7">
        <f t="shared" si="3"/>
        <v>2</v>
      </c>
      <c r="AM12" s="11" t="str">
        <f t="shared" si="4"/>
        <v>Unter Soll</v>
      </c>
    </row>
    <row r="13" spans="1:39" x14ac:dyDescent="0.25">
      <c r="A13" s="1" t="s">
        <v>76</v>
      </c>
      <c r="B13" s="1" t="str">
        <f>IFERROR(VLOOKUP($A13,Mitarbeiter!$E$8:$P$17,2,FALSE),"")</f>
        <v>Lager</v>
      </c>
      <c r="C13" s="11" t="s">
        <v>67</v>
      </c>
      <c r="D13" s="11" t="s">
        <v>71</v>
      </c>
      <c r="E13" s="11" t="s">
        <v>67</v>
      </c>
      <c r="F13" s="11" t="s">
        <v>67</v>
      </c>
      <c r="G13" s="11" t="s">
        <v>71</v>
      </c>
      <c r="H13" s="11" t="s">
        <v>67</v>
      </c>
      <c r="I13" s="11" t="s">
        <v>71</v>
      </c>
      <c r="J13" s="11" t="s">
        <v>67</v>
      </c>
      <c r="K13" s="11" t="s">
        <v>71</v>
      </c>
      <c r="L13" s="11" t="s">
        <v>67</v>
      </c>
      <c r="M13" s="11" t="s">
        <v>67</v>
      </c>
      <c r="N13" s="11" t="s">
        <v>71</v>
      </c>
      <c r="O13" s="11" t="s">
        <v>67</v>
      </c>
      <c r="P13" s="11" t="s">
        <v>71</v>
      </c>
      <c r="Q13" s="11" t="s">
        <v>67</v>
      </c>
      <c r="R13" s="11" t="s">
        <v>71</v>
      </c>
      <c r="S13" s="11" t="s">
        <v>67</v>
      </c>
      <c r="T13" s="11" t="s">
        <v>67</v>
      </c>
      <c r="U13" s="11" t="s">
        <v>71</v>
      </c>
      <c r="V13" s="11" t="s">
        <v>67</v>
      </c>
      <c r="W13" s="11" t="s">
        <v>71</v>
      </c>
      <c r="X13" s="11" t="s">
        <v>67</v>
      </c>
      <c r="Y13" s="11" t="s">
        <v>71</v>
      </c>
      <c r="Z13" s="11" t="s">
        <v>67</v>
      </c>
      <c r="AA13" s="11" t="s">
        <v>67</v>
      </c>
      <c r="AB13" s="11" t="s">
        <v>71</v>
      </c>
      <c r="AC13" s="11" t="s">
        <v>67</v>
      </c>
      <c r="AD13" s="11" t="s">
        <v>71</v>
      </c>
      <c r="AE13" s="11" t="s">
        <v>67</v>
      </c>
      <c r="AF13" s="11" t="s">
        <v>71</v>
      </c>
      <c r="AG13" s="11" t="s">
        <v>67</v>
      </c>
      <c r="AH13" s="3">
        <f t="shared" si="0"/>
        <v>104</v>
      </c>
      <c r="AI13" s="3">
        <f>IFERROR(VLOOKUP($A13,Mitarbeiter!$E$8:$P$17,6,FALSE),0)</f>
        <v>52</v>
      </c>
      <c r="AJ13" s="3">
        <f t="shared" si="1"/>
        <v>52</v>
      </c>
      <c r="AK13" s="7">
        <f t="shared" si="2"/>
        <v>0</v>
      </c>
      <c r="AL13" s="7">
        <f t="shared" si="3"/>
        <v>0</v>
      </c>
      <c r="AM13" s="11" t="str">
        <f t="shared" si="4"/>
        <v>Überstunden</v>
      </c>
    </row>
    <row r="14" spans="1:39" x14ac:dyDescent="0.25">
      <c r="A14" s="1" t="s">
        <v>77</v>
      </c>
      <c r="B14" s="1" t="str">
        <f>IFERROR(VLOOKUP($A14,Mitarbeiter!$E$8:$P$17,2,FALSE),"")</f>
        <v>Verkauf</v>
      </c>
      <c r="C14" s="11" t="s">
        <v>71</v>
      </c>
      <c r="D14" s="11" t="s">
        <v>67</v>
      </c>
      <c r="E14" s="11" t="s">
        <v>67</v>
      </c>
      <c r="F14" s="11" t="s">
        <v>71</v>
      </c>
      <c r="G14" s="11" t="s">
        <v>67</v>
      </c>
      <c r="H14" s="11" t="s">
        <v>71</v>
      </c>
      <c r="I14" s="11" t="s">
        <v>67</v>
      </c>
      <c r="J14" s="11" t="s">
        <v>71</v>
      </c>
      <c r="K14" s="11" t="s">
        <v>67</v>
      </c>
      <c r="L14" s="11" t="s">
        <v>67</v>
      </c>
      <c r="M14" s="11" t="s">
        <v>71</v>
      </c>
      <c r="N14" s="11" t="s">
        <v>67</v>
      </c>
      <c r="O14" s="11" t="s">
        <v>71</v>
      </c>
      <c r="P14" s="11" t="s">
        <v>67</v>
      </c>
      <c r="Q14" s="11" t="s">
        <v>71</v>
      </c>
      <c r="R14" s="11" t="s">
        <v>67</v>
      </c>
      <c r="S14" s="11" t="s">
        <v>67</v>
      </c>
      <c r="T14" s="11" t="s">
        <v>71</v>
      </c>
      <c r="U14" s="11" t="s">
        <v>67</v>
      </c>
      <c r="V14" s="11" t="s">
        <v>71</v>
      </c>
      <c r="W14" s="11" t="s">
        <v>67</v>
      </c>
      <c r="X14" s="11" t="s">
        <v>71</v>
      </c>
      <c r="Y14" s="11" t="s">
        <v>67</v>
      </c>
      <c r="Z14" s="11" t="s">
        <v>67</v>
      </c>
      <c r="AA14" s="11" t="s">
        <v>71</v>
      </c>
      <c r="AB14" s="11" t="s">
        <v>67</v>
      </c>
      <c r="AC14" s="11" t="s">
        <v>71</v>
      </c>
      <c r="AD14" s="11" t="s">
        <v>67</v>
      </c>
      <c r="AE14" s="11" t="s">
        <v>71</v>
      </c>
      <c r="AF14" s="11" t="s">
        <v>67</v>
      </c>
      <c r="AG14" s="11" t="s">
        <v>67</v>
      </c>
      <c r="AH14" s="3">
        <f t="shared" si="0"/>
        <v>104</v>
      </c>
      <c r="AI14" s="3">
        <f>IFERROR(VLOOKUP($A14,Mitarbeiter!$E$8:$P$17,6,FALSE),0)</f>
        <v>87</v>
      </c>
      <c r="AJ14" s="3">
        <f t="shared" si="1"/>
        <v>17</v>
      </c>
      <c r="AK14" s="7">
        <f t="shared" si="2"/>
        <v>0</v>
      </c>
      <c r="AL14" s="7">
        <f t="shared" si="3"/>
        <v>0</v>
      </c>
      <c r="AM14" s="11" t="str">
        <f t="shared" si="4"/>
        <v>Überstunden</v>
      </c>
    </row>
    <row r="15" spans="1:39" x14ac:dyDescent="0.25">
      <c r="A15" s="1" t="s">
        <v>78</v>
      </c>
      <c r="B15" s="1" t="str">
        <f>IFERROR(VLOOKUP($A15,Mitarbeiter!$E$8:$P$17,2,FALSE),"")</f>
        <v>Küche</v>
      </c>
      <c r="C15" s="11" t="s">
        <v>66</v>
      </c>
      <c r="D15" s="11" t="s">
        <v>67</v>
      </c>
      <c r="E15" s="11" t="s">
        <v>67</v>
      </c>
      <c r="F15" s="11" t="s">
        <v>66</v>
      </c>
      <c r="G15" s="11" t="s">
        <v>66</v>
      </c>
      <c r="H15" s="11" t="s">
        <v>66</v>
      </c>
      <c r="I15" s="11" t="s">
        <v>66</v>
      </c>
      <c r="J15" s="11" t="s">
        <v>66</v>
      </c>
      <c r="K15" s="11" t="s">
        <v>67</v>
      </c>
      <c r="L15" s="11" t="s">
        <v>67</v>
      </c>
      <c r="M15" s="11" t="s">
        <v>66</v>
      </c>
      <c r="N15" s="11" t="s">
        <v>66</v>
      </c>
      <c r="O15" s="11" t="s">
        <v>66</v>
      </c>
      <c r="P15" s="11" t="s">
        <v>66</v>
      </c>
      <c r="Q15" s="11" t="s">
        <v>66</v>
      </c>
      <c r="R15" s="11" t="s">
        <v>67</v>
      </c>
      <c r="S15" s="11" t="s">
        <v>67</v>
      </c>
      <c r="T15" s="11" t="s">
        <v>66</v>
      </c>
      <c r="U15" s="11" t="s">
        <v>66</v>
      </c>
      <c r="V15" s="11" t="s">
        <v>66</v>
      </c>
      <c r="W15" s="11" t="s">
        <v>66</v>
      </c>
      <c r="X15" s="11" t="s">
        <v>66</v>
      </c>
      <c r="Y15" s="11" t="s">
        <v>67</v>
      </c>
      <c r="Z15" s="11" t="s">
        <v>67</v>
      </c>
      <c r="AA15" s="11" t="s">
        <v>66</v>
      </c>
      <c r="AB15" s="11" t="s">
        <v>66</v>
      </c>
      <c r="AC15" s="11" t="s">
        <v>66</v>
      </c>
      <c r="AD15" s="11" t="s">
        <v>66</v>
      </c>
      <c r="AE15" s="11" t="s">
        <v>66</v>
      </c>
      <c r="AF15" s="11" t="s">
        <v>67</v>
      </c>
      <c r="AG15" s="11" t="s">
        <v>67</v>
      </c>
      <c r="AH15" s="3">
        <f t="shared" si="0"/>
        <v>168</v>
      </c>
      <c r="AI15" s="3">
        <f>IFERROR(VLOOKUP($A15,Mitarbeiter!$E$8:$P$17,6,FALSE),0)</f>
        <v>174</v>
      </c>
      <c r="AJ15" s="3">
        <f t="shared" si="1"/>
        <v>-6</v>
      </c>
      <c r="AK15" s="7">
        <f t="shared" si="2"/>
        <v>0</v>
      </c>
      <c r="AL15" s="7">
        <f t="shared" si="3"/>
        <v>0</v>
      </c>
      <c r="AM15" s="11" t="str">
        <f t="shared" si="4"/>
        <v>Unter Soll</v>
      </c>
    </row>
    <row r="16" spans="1:39" x14ac:dyDescent="0.25">
      <c r="A16" s="1" t="s">
        <v>79</v>
      </c>
      <c r="B16" s="1" t="str">
        <f>IFERROR(VLOOKUP($A16,Mitarbeiter!$E$8:$P$17,2,FALSE),"")</f>
        <v>Verkauf</v>
      </c>
      <c r="C16" s="11" t="s">
        <v>67</v>
      </c>
      <c r="D16" s="11" t="s">
        <v>69</v>
      </c>
      <c r="E16" s="11" t="s">
        <v>67</v>
      </c>
      <c r="F16" s="11" t="s">
        <v>69</v>
      </c>
      <c r="G16" s="11" t="s">
        <v>69</v>
      </c>
      <c r="H16" s="11" t="s">
        <v>69</v>
      </c>
      <c r="I16" s="11" t="s">
        <v>69</v>
      </c>
      <c r="J16" s="11" t="s">
        <v>67</v>
      </c>
      <c r="K16" s="11" t="s">
        <v>69</v>
      </c>
      <c r="L16" s="11" t="s">
        <v>67</v>
      </c>
      <c r="M16" s="11" t="s">
        <v>69</v>
      </c>
      <c r="N16" s="11" t="s">
        <v>69</v>
      </c>
      <c r="O16" s="11" t="s">
        <v>69</v>
      </c>
      <c r="P16" s="11" t="s">
        <v>69</v>
      </c>
      <c r="Q16" s="11" t="s">
        <v>67</v>
      </c>
      <c r="R16" s="11" t="s">
        <v>69</v>
      </c>
      <c r="S16" s="11" t="s">
        <v>67</v>
      </c>
      <c r="T16" s="11" t="s">
        <v>69</v>
      </c>
      <c r="U16" s="11" t="s">
        <v>69</v>
      </c>
      <c r="V16" s="11" t="s">
        <v>69</v>
      </c>
      <c r="W16" s="11" t="s">
        <v>69</v>
      </c>
      <c r="X16" s="11" t="s">
        <v>67</v>
      </c>
      <c r="Y16" s="11" t="s">
        <v>69</v>
      </c>
      <c r="Z16" s="11" t="s">
        <v>67</v>
      </c>
      <c r="AA16" s="11" t="s">
        <v>69</v>
      </c>
      <c r="AB16" s="11" t="s">
        <v>69</v>
      </c>
      <c r="AC16" s="11" t="s">
        <v>69</v>
      </c>
      <c r="AD16" s="11" t="s">
        <v>69</v>
      </c>
      <c r="AE16" s="11" t="s">
        <v>67</v>
      </c>
      <c r="AF16" s="11" t="s">
        <v>69</v>
      </c>
      <c r="AG16" s="11" t="s">
        <v>67</v>
      </c>
      <c r="AH16" s="3">
        <f t="shared" si="0"/>
        <v>168</v>
      </c>
      <c r="AI16" s="3">
        <f>IFERROR(VLOOKUP($A16,Mitarbeiter!$E$8:$P$17,6,FALSE),0)</f>
        <v>139</v>
      </c>
      <c r="AJ16" s="3">
        <f t="shared" si="1"/>
        <v>29</v>
      </c>
      <c r="AK16" s="7">
        <f t="shared" si="2"/>
        <v>0</v>
      </c>
      <c r="AL16" s="7">
        <f t="shared" si="3"/>
        <v>0</v>
      </c>
      <c r="AM16" s="11" t="str">
        <f t="shared" si="4"/>
        <v>Überstunden</v>
      </c>
    </row>
    <row r="17" spans="1:39" x14ac:dyDescent="0.25">
      <c r="A17" s="1" t="s">
        <v>80</v>
      </c>
      <c r="B17" s="1" t="str">
        <f>IFERROR(VLOOKUP($A17,Mitarbeiter!$E$8:$P$17,2,FALSE),"")</f>
        <v>Aushilfe</v>
      </c>
      <c r="C17" s="11" t="s">
        <v>67</v>
      </c>
      <c r="D17" s="11" t="s">
        <v>67</v>
      </c>
      <c r="E17" s="11" t="s">
        <v>71</v>
      </c>
      <c r="F17" s="11" t="s">
        <v>67</v>
      </c>
      <c r="G17" s="11" t="s">
        <v>71</v>
      </c>
      <c r="H17" s="11" t="s">
        <v>67</v>
      </c>
      <c r="I17" s="11" t="s">
        <v>71</v>
      </c>
      <c r="J17" s="11" t="s">
        <v>67</v>
      </c>
      <c r="K17" s="11" t="s">
        <v>67</v>
      </c>
      <c r="L17" s="11" t="s">
        <v>71</v>
      </c>
      <c r="M17" s="11" t="s">
        <v>67</v>
      </c>
      <c r="N17" s="11" t="s">
        <v>71</v>
      </c>
      <c r="O17" s="11" t="s">
        <v>67</v>
      </c>
      <c r="P17" s="11" t="s">
        <v>71</v>
      </c>
      <c r="Q17" s="11" t="s">
        <v>67</v>
      </c>
      <c r="R17" s="11" t="s">
        <v>67</v>
      </c>
      <c r="S17" s="11" t="s">
        <v>71</v>
      </c>
      <c r="T17" s="11" t="s">
        <v>67</v>
      </c>
      <c r="U17" s="11" t="s">
        <v>71</v>
      </c>
      <c r="V17" s="11" t="s">
        <v>67</v>
      </c>
      <c r="W17" s="11" t="s">
        <v>71</v>
      </c>
      <c r="X17" s="11" t="s">
        <v>67</v>
      </c>
      <c r="Y17" s="11" t="s">
        <v>67</v>
      </c>
      <c r="Z17" s="11" t="s">
        <v>71</v>
      </c>
      <c r="AA17" s="11" t="s">
        <v>67</v>
      </c>
      <c r="AB17" s="11" t="s">
        <v>71</v>
      </c>
      <c r="AC17" s="11" t="s">
        <v>72</v>
      </c>
      <c r="AD17" s="11" t="s">
        <v>72</v>
      </c>
      <c r="AE17" s="11" t="s">
        <v>72</v>
      </c>
      <c r="AF17" s="11" t="s">
        <v>67</v>
      </c>
      <c r="AG17" s="11" t="s">
        <v>71</v>
      </c>
      <c r="AH17" s="3">
        <f t="shared" si="0"/>
        <v>96</v>
      </c>
      <c r="AI17" s="3">
        <f>IFERROR(VLOOKUP($A17,Mitarbeiter!$E$8:$P$17,6,FALSE),0)</f>
        <v>65</v>
      </c>
      <c r="AJ17" s="3">
        <f t="shared" si="1"/>
        <v>31</v>
      </c>
      <c r="AK17" s="7">
        <f t="shared" si="2"/>
        <v>3</v>
      </c>
      <c r="AL17" s="7">
        <f t="shared" si="3"/>
        <v>0</v>
      </c>
      <c r="AM17" s="11" t="str">
        <f t="shared" si="4"/>
        <v>Überstunden</v>
      </c>
    </row>
    <row r="18" spans="1:39" x14ac:dyDescent="0.25">
      <c r="A18" s="1"/>
      <c r="B18" s="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3"/>
      <c r="AI18" s="3"/>
      <c r="AJ18" s="3"/>
      <c r="AK18" s="7"/>
      <c r="AL18" s="7"/>
      <c r="AM18" s="11"/>
    </row>
    <row r="19" spans="1:39" x14ac:dyDescent="0.25">
      <c r="A19" s="1"/>
      <c r="B19" s="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3"/>
      <c r="AI19" s="3"/>
      <c r="AJ19" s="3"/>
      <c r="AK19" s="7"/>
      <c r="AL19" s="7"/>
      <c r="AM19" s="11"/>
    </row>
    <row r="20" spans="1:39" x14ac:dyDescent="0.25">
      <c r="A20" s="1"/>
      <c r="B20" s="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3"/>
      <c r="AI20" s="3"/>
      <c r="AJ20" s="3"/>
      <c r="AK20" s="7"/>
      <c r="AL20" s="7"/>
      <c r="AM20" s="11"/>
    </row>
    <row r="21" spans="1:39" x14ac:dyDescent="0.25">
      <c r="A21" s="1"/>
      <c r="B21" s="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3"/>
      <c r="AI21" s="3"/>
      <c r="AJ21" s="3"/>
      <c r="AK21" s="7"/>
      <c r="AL21" s="7"/>
      <c r="AM21" s="11"/>
    </row>
    <row r="22" spans="1:39" x14ac:dyDescent="0.25">
      <c r="A22" s="1"/>
      <c r="B22" s="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3"/>
      <c r="AI22" s="3"/>
      <c r="AJ22" s="3"/>
      <c r="AK22" s="7"/>
      <c r="AL22" s="7"/>
      <c r="AM22" s="11"/>
    </row>
    <row r="23" spans="1:39" x14ac:dyDescent="0.25">
      <c r="A23" s="1"/>
      <c r="B23" s="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3"/>
      <c r="AI23" s="3"/>
      <c r="AJ23" s="3"/>
      <c r="AK23" s="7"/>
      <c r="AL23" s="7"/>
      <c r="AM23" s="11"/>
    </row>
    <row r="24" spans="1:39" x14ac:dyDescent="0.25">
      <c r="A24" s="1"/>
      <c r="B24" s="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3"/>
      <c r="AI24" s="3"/>
      <c r="AJ24" s="3"/>
      <c r="AK24" s="7"/>
      <c r="AL24" s="7"/>
      <c r="AM24" s="11"/>
    </row>
    <row r="25" spans="1:39" x14ac:dyDescent="0.25">
      <c r="A25" s="1"/>
      <c r="B25" s="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3"/>
      <c r="AI25" s="3"/>
      <c r="AJ25" s="3"/>
      <c r="AK25" s="7"/>
      <c r="AL25" s="7"/>
      <c r="AM25" s="11"/>
    </row>
    <row r="26" spans="1:39" x14ac:dyDescent="0.25">
      <c r="A26" s="1"/>
      <c r="B26" s="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3"/>
      <c r="AI26" s="3"/>
      <c r="AJ26" s="3"/>
      <c r="AK26" s="7"/>
      <c r="AL26" s="7"/>
      <c r="AM26" s="11"/>
    </row>
    <row r="27" spans="1:39" x14ac:dyDescent="0.25">
      <c r="A27" s="1"/>
      <c r="B27" s="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3"/>
      <c r="AI27" s="3"/>
      <c r="AJ27" s="3"/>
      <c r="AK27" s="7"/>
      <c r="AL27" s="7"/>
      <c r="AM27" s="11"/>
    </row>
    <row r="28" spans="1:39" x14ac:dyDescent="0.25">
      <c r="A28" s="1"/>
      <c r="B28" s="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3"/>
      <c r="AI28" s="3"/>
      <c r="AJ28" s="3"/>
      <c r="AK28" s="7"/>
      <c r="AL28" s="7"/>
      <c r="AM28" s="11"/>
    </row>
    <row r="29" spans="1:39" x14ac:dyDescent="0.25">
      <c r="A29" s="1"/>
      <c r="B29" s="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3"/>
      <c r="AI29" s="3"/>
      <c r="AJ29" s="3"/>
      <c r="AK29" s="7"/>
      <c r="AL29" s="7"/>
      <c r="AM29" s="11"/>
    </row>
    <row r="30" spans="1:39" x14ac:dyDescent="0.25">
      <c r="A30" s="1"/>
      <c r="B30" s="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3"/>
      <c r="AI30" s="3"/>
      <c r="AJ30" s="3"/>
      <c r="AK30" s="7"/>
      <c r="AL30" s="7"/>
      <c r="AM30" s="11"/>
    </row>
    <row r="31" spans="1:39" x14ac:dyDescent="0.25">
      <c r="A31" s="1"/>
      <c r="B31" s="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3"/>
      <c r="AI31" s="3"/>
      <c r="AJ31" s="3"/>
      <c r="AK31" s="7"/>
      <c r="AL31" s="7"/>
      <c r="AM31" s="11"/>
    </row>
    <row r="32" spans="1:39" x14ac:dyDescent="0.25">
      <c r="A32" s="1"/>
      <c r="B32" s="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3"/>
      <c r="AI32" s="3"/>
      <c r="AJ32" s="3"/>
      <c r="AK32" s="7"/>
      <c r="AL32" s="7"/>
      <c r="AM32" s="11"/>
    </row>
    <row r="33" spans="1:39" x14ac:dyDescent="0.25">
      <c r="A33" s="1"/>
      <c r="B33" s="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3"/>
      <c r="AI33" s="3"/>
      <c r="AJ33" s="3"/>
      <c r="AK33" s="7"/>
      <c r="AL33" s="7"/>
      <c r="AM33" s="11"/>
    </row>
    <row r="34" spans="1:39" x14ac:dyDescent="0.25">
      <c r="A34" s="1"/>
      <c r="B34" s="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3"/>
      <c r="AI34" s="3"/>
      <c r="AJ34" s="3"/>
      <c r="AK34" s="7"/>
      <c r="AL34" s="7"/>
      <c r="AM34" s="11"/>
    </row>
    <row r="35" spans="1:39" x14ac:dyDescent="0.25">
      <c r="A35" s="1"/>
      <c r="B35" s="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3"/>
      <c r="AI35" s="3"/>
      <c r="AJ35" s="3"/>
      <c r="AK35" s="7"/>
      <c r="AL35" s="7"/>
      <c r="AM35" s="11"/>
    </row>
    <row r="36" spans="1:39" x14ac:dyDescent="0.25">
      <c r="A36" s="1"/>
      <c r="B36" s="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3"/>
      <c r="AI36" s="3"/>
      <c r="AJ36" s="3"/>
      <c r="AK36" s="7"/>
      <c r="AL36" s="7"/>
      <c r="AM36" s="11"/>
    </row>
    <row r="37" spans="1:39" x14ac:dyDescent="0.25">
      <c r="A37" s="1"/>
      <c r="B37" s="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3"/>
      <c r="AI37" s="3"/>
      <c r="AJ37" s="3"/>
      <c r="AK37" s="7"/>
      <c r="AL37" s="7"/>
      <c r="AM37" s="11"/>
    </row>
    <row r="38" spans="1:39" x14ac:dyDescent="0.25">
      <c r="A38" s="1"/>
      <c r="B38" s="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3"/>
      <c r="AI38" s="3"/>
      <c r="AJ38" s="3"/>
      <c r="AK38" s="7"/>
      <c r="AL38" s="7"/>
      <c r="AM38" s="11"/>
    </row>
    <row r="39" spans="1:39" x14ac:dyDescent="0.25">
      <c r="A39" s="1"/>
      <c r="B39" s="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3"/>
      <c r="AI39" s="3"/>
      <c r="AJ39" s="3"/>
      <c r="AK39" s="7"/>
      <c r="AL39" s="7"/>
      <c r="AM39" s="11"/>
    </row>
    <row r="40" spans="1:39" x14ac:dyDescent="0.25">
      <c r="A40" s="1"/>
      <c r="B40" s="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3"/>
      <c r="AI40" s="3"/>
      <c r="AJ40" s="3"/>
      <c r="AK40" s="7"/>
      <c r="AL40" s="7"/>
      <c r="AM40" s="11"/>
    </row>
    <row r="41" spans="1:39" x14ac:dyDescent="0.25">
      <c r="A41" s="1"/>
      <c r="B41" s="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3"/>
      <c r="AI41" s="3"/>
      <c r="AJ41" s="3"/>
      <c r="AK41" s="7"/>
      <c r="AL41" s="7"/>
      <c r="AM41" s="11"/>
    </row>
    <row r="42" spans="1:39" x14ac:dyDescent="0.25">
      <c r="A42" s="1"/>
      <c r="B42" s="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3"/>
      <c r="AI42" s="3"/>
      <c r="AJ42" s="3"/>
      <c r="AK42" s="7"/>
      <c r="AL42" s="7"/>
      <c r="AM42" s="11"/>
    </row>
    <row r="43" spans="1:39" x14ac:dyDescent="0.25">
      <c r="A43" s="1"/>
      <c r="B43" s="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3"/>
      <c r="AI43" s="3"/>
      <c r="AJ43" s="3"/>
      <c r="AK43" s="7"/>
      <c r="AL43" s="7"/>
      <c r="AM43" s="11"/>
    </row>
    <row r="44" spans="1:39" x14ac:dyDescent="0.25">
      <c r="A44" s="1"/>
      <c r="B44" s="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3"/>
      <c r="AI44" s="3"/>
      <c r="AJ44" s="3"/>
      <c r="AK44" s="7"/>
      <c r="AL44" s="7"/>
      <c r="AM44" s="11"/>
    </row>
    <row r="45" spans="1:39" x14ac:dyDescent="0.25">
      <c r="A45" s="1"/>
      <c r="B45" s="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3"/>
      <c r="AI45" s="3"/>
      <c r="AJ45" s="3"/>
      <c r="AK45" s="7"/>
      <c r="AL45" s="7"/>
      <c r="AM45" s="11"/>
    </row>
    <row r="46" spans="1:39" x14ac:dyDescent="0.25">
      <c r="A46" s="1"/>
      <c r="B46" s="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3"/>
      <c r="AI46" s="3"/>
      <c r="AJ46" s="3"/>
      <c r="AK46" s="7"/>
      <c r="AL46" s="7"/>
      <c r="AM46" s="11"/>
    </row>
    <row r="47" spans="1:39" x14ac:dyDescent="0.25">
      <c r="A47" s="1"/>
      <c r="B47" s="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3"/>
      <c r="AI47" s="3"/>
      <c r="AJ47" s="3"/>
      <c r="AK47" s="7"/>
      <c r="AL47" s="7"/>
      <c r="AM47" s="11"/>
    </row>
    <row r="48" spans="1:39" x14ac:dyDescent="0.25">
      <c r="A48" s="1"/>
      <c r="B48" s="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3"/>
      <c r="AI48" s="3"/>
      <c r="AJ48" s="3"/>
      <c r="AK48" s="7"/>
      <c r="AL48" s="7"/>
      <c r="AM48" s="11"/>
    </row>
    <row r="49" spans="1:39" x14ac:dyDescent="0.25">
      <c r="A49" s="1"/>
      <c r="B49" s="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3"/>
      <c r="AI49" s="3"/>
      <c r="AJ49" s="3"/>
      <c r="AK49" s="7"/>
      <c r="AL49" s="7"/>
      <c r="AM49" s="11"/>
    </row>
    <row r="50" spans="1:39" x14ac:dyDescent="0.25">
      <c r="A50" s="1"/>
      <c r="B50" s="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3"/>
      <c r="AI50" s="3"/>
      <c r="AJ50" s="3"/>
      <c r="AK50" s="7"/>
      <c r="AL50" s="7"/>
      <c r="AM50" s="11"/>
    </row>
    <row r="51" spans="1:39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</row>
    <row r="52" spans="1:39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</row>
    <row r="53" spans="1:39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</row>
    <row r="54" spans="1:39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</row>
    <row r="55" spans="1:39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</row>
    <row r="57" spans="1:39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</row>
    <row r="58" spans="1:39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</row>
    <row r="59" spans="1:39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</row>
    <row r="60" spans="1:39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</row>
  </sheetData>
  <mergeCells count="1">
    <mergeCell ref="A1:AM1"/>
  </mergeCells>
  <conditionalFormatting sqref="C8:AG50">
    <cfRule type="expression" dxfId="15" priority="1">
      <formula>C8="F"</formula>
    </cfRule>
    <cfRule type="expression" dxfId="14" priority="2">
      <formula>C8="S"</formula>
    </cfRule>
    <cfRule type="expression" dxfId="13" priority="3">
      <formula>C8="N"</formula>
    </cfRule>
    <cfRule type="expression" dxfId="12" priority="4">
      <formula>C8="T"</formula>
    </cfRule>
    <cfRule type="expression" dxfId="11" priority="5">
      <formula>C8="U"</formula>
    </cfRule>
    <cfRule type="expression" dxfId="10" priority="6">
      <formula>C8="K"</formula>
    </cfRule>
    <cfRule type="expression" dxfId="9" priority="7">
      <formula>C8="Frei"</formula>
    </cfRule>
  </conditionalFormatting>
  <conditionalFormatting sqref="AM8:AM50">
    <cfRule type="expression" dxfId="6" priority="10">
      <formula>$AM8="OK"</formula>
    </cfRule>
    <cfRule type="expression" dxfId="5" priority="11">
      <formula>$AM8="Überstunden"</formula>
    </cfRule>
    <cfRule type="expression" dxfId="4" priority="12">
      <formula>$AM8="Unter Soll"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00000000-000E-0000-0200-000008000000}">
            <xm:f>WEEKDAY(DATE($B$4,MATCH($B$3,Listen!$P$4:$P$15,0),C$7),2)&gt;5</xm:f>
            <x14:dxf>
              <fill>
                <patternFill>
                  <bgColor rgb="FFF6F6F6"/>
                </patternFill>
              </fill>
            </x14:dxf>
          </x14:cfRule>
          <x14:cfRule type="expression" priority="9" id="{00000000-000E-0000-0200-000009000000}">
            <xm:f>C$7&gt;DAY(EOMONTH(DATE($B$4,MATCH($B$3,Listen!$P$4:$P$15,0),1),0))</xm:f>
            <x14:dxf>
              <fill>
                <patternFill>
                  <bgColor rgb="FFD9D9D9"/>
                </patternFill>
              </fill>
            </x14:dxf>
          </x14:cfRule>
          <xm:sqref>C8:AG50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200-000000000000}">
          <x14:formula1>
            <xm:f>Mitarbeiter!$E$8:$E$17</xm:f>
          </x14:formula1>
          <xm:sqref>A8:A50</xm:sqref>
        </x14:dataValidation>
        <x14:dataValidation type="list" allowBlank="1" xr:uid="{00000000-0002-0000-0200-000001000000}">
          <x14:formula1>
            <xm:f>Listen!$A$4:$A$10</xm:f>
          </x14:formula1>
          <xm:sqref>C8:AG50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70"/>
  <sheetViews>
    <sheetView workbookViewId="0"/>
  </sheetViews>
  <sheetFormatPr baseColWidth="10" defaultColWidth="9" defaultRowHeight="15" x14ac:dyDescent="0.25"/>
  <cols>
    <col min="1" max="1" width="11" customWidth="1"/>
    <col min="2" max="2" width="14" customWidth="1"/>
    <col min="3" max="3" width="13" customWidth="1"/>
    <col min="4" max="4" width="14" customWidth="1"/>
    <col min="5" max="5" width="18" customWidth="1"/>
    <col min="6" max="6" width="17" customWidth="1"/>
    <col min="7" max="7" width="20" customWidth="1"/>
    <col min="8" max="10" width="16" customWidth="1"/>
    <col min="11" max="13" width="14" customWidth="1"/>
    <col min="14" max="14" width="26" customWidth="1"/>
    <col min="15" max="15" width="18" customWidth="1"/>
    <col min="16" max="16" width="24" customWidth="1"/>
  </cols>
  <sheetData>
    <row r="1" spans="1:16" ht="32.1" customHeight="1" x14ac:dyDescent="0.25">
      <c r="A1" s="18" t="s">
        <v>89</v>
      </c>
      <c r="B1" s="18" t="s">
        <v>89</v>
      </c>
      <c r="C1" s="18" t="s">
        <v>89</v>
      </c>
      <c r="D1" s="18" t="s">
        <v>89</v>
      </c>
      <c r="E1" s="18" t="s">
        <v>89</v>
      </c>
      <c r="F1" s="18" t="s">
        <v>89</v>
      </c>
      <c r="G1" s="18" t="s">
        <v>89</v>
      </c>
      <c r="H1" s="18" t="s">
        <v>89</v>
      </c>
      <c r="I1" s="18" t="s">
        <v>89</v>
      </c>
      <c r="J1" s="18" t="s">
        <v>89</v>
      </c>
      <c r="K1" s="18" t="s">
        <v>89</v>
      </c>
      <c r="L1" s="18" t="s">
        <v>89</v>
      </c>
      <c r="M1" s="18" t="s">
        <v>89</v>
      </c>
      <c r="N1" s="18" t="s">
        <v>89</v>
      </c>
      <c r="O1" s="18" t="s">
        <v>89</v>
      </c>
      <c r="P1" s="18" t="s">
        <v>89</v>
      </c>
    </row>
    <row r="2" spans="1:1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4" customHeight="1" x14ac:dyDescent="0.25">
      <c r="A3" s="19" t="s">
        <v>90</v>
      </c>
      <c r="B3" s="19" t="s">
        <v>90</v>
      </c>
      <c r="C3" s="19" t="s">
        <v>90</v>
      </c>
      <c r="D3" s="19" t="s">
        <v>90</v>
      </c>
      <c r="E3" s="19" t="s">
        <v>90</v>
      </c>
      <c r="F3" s="19" t="s">
        <v>90</v>
      </c>
      <c r="G3" s="19" t="s">
        <v>90</v>
      </c>
      <c r="H3" s="19" t="s">
        <v>90</v>
      </c>
      <c r="I3" s="19" t="s">
        <v>90</v>
      </c>
      <c r="J3" s="19" t="s">
        <v>90</v>
      </c>
      <c r="K3" s="19" t="s">
        <v>90</v>
      </c>
      <c r="L3" s="19" t="s">
        <v>90</v>
      </c>
      <c r="M3" s="19" t="s">
        <v>90</v>
      </c>
      <c r="N3" s="19" t="s">
        <v>90</v>
      </c>
      <c r="O3" s="19" t="s">
        <v>90</v>
      </c>
      <c r="P3" s="19" t="s">
        <v>90</v>
      </c>
    </row>
    <row r="4" spans="1:1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24" customHeight="1" x14ac:dyDescent="0.25">
      <c r="A7" s="2" t="s">
        <v>91</v>
      </c>
      <c r="B7" s="2" t="s">
        <v>92</v>
      </c>
      <c r="C7" s="2" t="s">
        <v>93</v>
      </c>
      <c r="D7" s="2" t="s">
        <v>94</v>
      </c>
      <c r="E7" s="2" t="s">
        <v>32</v>
      </c>
      <c r="F7" s="2" t="s">
        <v>33</v>
      </c>
      <c r="G7" s="2" t="s">
        <v>95</v>
      </c>
      <c r="H7" s="2" t="s">
        <v>96</v>
      </c>
      <c r="I7" s="2" t="s">
        <v>97</v>
      </c>
      <c r="J7" s="2" t="s">
        <v>98</v>
      </c>
      <c r="K7" s="2" t="s">
        <v>37</v>
      </c>
      <c r="L7" s="2" t="s">
        <v>99</v>
      </c>
      <c r="M7" s="2" t="s">
        <v>100</v>
      </c>
      <c r="N7" s="2" t="s">
        <v>101</v>
      </c>
      <c r="O7" s="2" t="s">
        <v>102</v>
      </c>
      <c r="P7" s="2" t="s">
        <v>58</v>
      </c>
    </row>
    <row r="8" spans="1:16" x14ac:dyDescent="0.25">
      <c r="A8" s="1" t="s">
        <v>103</v>
      </c>
      <c r="B8" s="1" t="s">
        <v>104</v>
      </c>
      <c r="C8" s="1" t="s">
        <v>105</v>
      </c>
      <c r="D8" s="1" t="s">
        <v>106</v>
      </c>
      <c r="E8" s="1" t="str">
        <f t="shared" ref="E8:E17" si="0">C8&amp;" "&amp;D8</f>
        <v>Anna Müller</v>
      </c>
      <c r="F8" s="1" t="s">
        <v>107</v>
      </c>
      <c r="G8" s="1" t="s">
        <v>6</v>
      </c>
      <c r="H8" s="1" t="s">
        <v>108</v>
      </c>
      <c r="I8" s="3">
        <v>40</v>
      </c>
      <c r="J8" s="3">
        <v>174</v>
      </c>
      <c r="K8" s="4">
        <v>24</v>
      </c>
      <c r="L8" s="16">
        <v>44256</v>
      </c>
      <c r="M8" s="16"/>
      <c r="N8" s="6" t="s">
        <v>109</v>
      </c>
      <c r="O8" s="1" t="s">
        <v>110</v>
      </c>
      <c r="P8" s="8"/>
    </row>
    <row r="9" spans="1:16" x14ac:dyDescent="0.25">
      <c r="A9" s="1" t="s">
        <v>103</v>
      </c>
      <c r="B9" s="1" t="s">
        <v>111</v>
      </c>
      <c r="C9" s="1" t="s">
        <v>112</v>
      </c>
      <c r="D9" s="1" t="s">
        <v>113</v>
      </c>
      <c r="E9" s="1" t="str">
        <f t="shared" si="0"/>
        <v>Ben Schneider</v>
      </c>
      <c r="F9" s="1" t="s">
        <v>114</v>
      </c>
      <c r="G9" s="1" t="s">
        <v>6</v>
      </c>
      <c r="H9" s="1" t="s">
        <v>108</v>
      </c>
      <c r="I9" s="3">
        <v>38.5</v>
      </c>
      <c r="J9" s="3">
        <v>167</v>
      </c>
      <c r="K9" s="4">
        <v>20</v>
      </c>
      <c r="L9" s="16">
        <v>44757</v>
      </c>
      <c r="M9" s="16"/>
      <c r="N9" s="6" t="s">
        <v>115</v>
      </c>
      <c r="O9" s="1" t="s">
        <v>116</v>
      </c>
      <c r="P9" s="8"/>
    </row>
    <row r="10" spans="1:16" x14ac:dyDescent="0.25">
      <c r="A10" s="1" t="s">
        <v>103</v>
      </c>
      <c r="B10" s="1" t="s">
        <v>117</v>
      </c>
      <c r="C10" s="1" t="s">
        <v>118</v>
      </c>
      <c r="D10" s="1" t="s">
        <v>119</v>
      </c>
      <c r="E10" s="1" t="str">
        <f t="shared" si="0"/>
        <v>Clara Fischer</v>
      </c>
      <c r="F10" s="1" t="s">
        <v>120</v>
      </c>
      <c r="G10" s="1" t="s">
        <v>6</v>
      </c>
      <c r="H10" s="1" t="s">
        <v>121</v>
      </c>
      <c r="I10" s="3">
        <v>25</v>
      </c>
      <c r="J10" s="3">
        <v>108</v>
      </c>
      <c r="K10" s="4">
        <v>16</v>
      </c>
      <c r="L10" s="16">
        <v>44936</v>
      </c>
      <c r="M10" s="16"/>
      <c r="N10" s="6" t="s">
        <v>122</v>
      </c>
      <c r="O10" s="1" t="s">
        <v>123</v>
      </c>
      <c r="P10" s="8"/>
    </row>
    <row r="11" spans="1:16" x14ac:dyDescent="0.25">
      <c r="A11" s="1" t="s">
        <v>103</v>
      </c>
      <c r="B11" s="1" t="s">
        <v>124</v>
      </c>
      <c r="C11" s="1" t="s">
        <v>125</v>
      </c>
      <c r="D11" s="1" t="s">
        <v>126</v>
      </c>
      <c r="E11" s="1" t="str">
        <f t="shared" si="0"/>
        <v>David Weber</v>
      </c>
      <c r="F11" s="1" t="s">
        <v>127</v>
      </c>
      <c r="G11" s="1" t="s">
        <v>6</v>
      </c>
      <c r="H11" s="1" t="s">
        <v>108</v>
      </c>
      <c r="I11" s="3">
        <v>40</v>
      </c>
      <c r="J11" s="3">
        <v>174</v>
      </c>
      <c r="K11" s="4">
        <v>18</v>
      </c>
      <c r="L11" s="16">
        <v>44075</v>
      </c>
      <c r="M11" s="16"/>
      <c r="N11" s="6" t="s">
        <v>128</v>
      </c>
      <c r="O11" s="1" t="s">
        <v>129</v>
      </c>
      <c r="P11" s="8"/>
    </row>
    <row r="12" spans="1:16" x14ac:dyDescent="0.25">
      <c r="A12" s="1" t="s">
        <v>103</v>
      </c>
      <c r="B12" s="1" t="s">
        <v>130</v>
      </c>
      <c r="C12" s="1" t="s">
        <v>131</v>
      </c>
      <c r="D12" s="1" t="s">
        <v>132</v>
      </c>
      <c r="E12" s="1" t="str">
        <f t="shared" si="0"/>
        <v>Emma Hoffmann</v>
      </c>
      <c r="F12" s="1" t="s">
        <v>133</v>
      </c>
      <c r="G12" s="1" t="s">
        <v>6</v>
      </c>
      <c r="H12" s="1" t="s">
        <v>121</v>
      </c>
      <c r="I12" s="3">
        <v>30</v>
      </c>
      <c r="J12" s="3">
        <v>130</v>
      </c>
      <c r="K12" s="4">
        <v>16.5</v>
      </c>
      <c r="L12" s="16">
        <v>45323</v>
      </c>
      <c r="M12" s="16"/>
      <c r="N12" s="6" t="s">
        <v>134</v>
      </c>
      <c r="O12" s="1" t="s">
        <v>135</v>
      </c>
      <c r="P12" s="8"/>
    </row>
    <row r="13" spans="1:16" x14ac:dyDescent="0.25">
      <c r="A13" s="1" t="s">
        <v>103</v>
      </c>
      <c r="B13" s="1" t="s">
        <v>136</v>
      </c>
      <c r="C13" s="1" t="s">
        <v>137</v>
      </c>
      <c r="D13" s="1" t="s">
        <v>138</v>
      </c>
      <c r="E13" s="1" t="str">
        <f t="shared" si="0"/>
        <v>Felix Wagner</v>
      </c>
      <c r="F13" s="1" t="s">
        <v>139</v>
      </c>
      <c r="G13" s="1" t="s">
        <v>6</v>
      </c>
      <c r="H13" s="1" t="s">
        <v>140</v>
      </c>
      <c r="I13" s="3">
        <v>12</v>
      </c>
      <c r="J13" s="3">
        <v>52</v>
      </c>
      <c r="K13" s="4">
        <v>14</v>
      </c>
      <c r="L13" s="16">
        <v>45413</v>
      </c>
      <c r="M13" s="16"/>
      <c r="N13" s="6" t="s">
        <v>141</v>
      </c>
      <c r="O13" s="1" t="s">
        <v>142</v>
      </c>
      <c r="P13" s="8"/>
    </row>
    <row r="14" spans="1:16" x14ac:dyDescent="0.25">
      <c r="A14" s="1" t="s">
        <v>103</v>
      </c>
      <c r="B14" s="1" t="s">
        <v>143</v>
      </c>
      <c r="C14" s="1" t="s">
        <v>144</v>
      </c>
      <c r="D14" s="1" t="s">
        <v>145</v>
      </c>
      <c r="E14" s="1" t="str">
        <f t="shared" si="0"/>
        <v>Greta Becker</v>
      </c>
      <c r="F14" s="1" t="s">
        <v>120</v>
      </c>
      <c r="G14" s="1" t="s">
        <v>6</v>
      </c>
      <c r="H14" s="1" t="s">
        <v>146</v>
      </c>
      <c r="I14" s="3">
        <v>20</v>
      </c>
      <c r="J14" s="3">
        <v>87</v>
      </c>
      <c r="K14" s="4">
        <v>15</v>
      </c>
      <c r="L14" s="16">
        <v>45200</v>
      </c>
      <c r="M14" s="16"/>
      <c r="N14" s="6" t="s">
        <v>147</v>
      </c>
      <c r="O14" s="1" t="s">
        <v>148</v>
      </c>
      <c r="P14" s="8"/>
    </row>
    <row r="15" spans="1:16" x14ac:dyDescent="0.25">
      <c r="A15" s="1" t="s">
        <v>103</v>
      </c>
      <c r="B15" s="1" t="s">
        <v>149</v>
      </c>
      <c r="C15" s="1" t="s">
        <v>150</v>
      </c>
      <c r="D15" s="1" t="s">
        <v>151</v>
      </c>
      <c r="E15" s="1" t="str">
        <f t="shared" si="0"/>
        <v>Hasan Kaya</v>
      </c>
      <c r="F15" s="1" t="s">
        <v>127</v>
      </c>
      <c r="G15" s="1" t="s">
        <v>6</v>
      </c>
      <c r="H15" s="1" t="s">
        <v>108</v>
      </c>
      <c r="I15" s="3">
        <v>40</v>
      </c>
      <c r="J15" s="3">
        <v>174</v>
      </c>
      <c r="K15" s="4">
        <v>18.5</v>
      </c>
      <c r="L15" s="16">
        <v>44515</v>
      </c>
      <c r="M15" s="16"/>
      <c r="N15" s="6" t="s">
        <v>152</v>
      </c>
      <c r="O15" s="1" t="s">
        <v>153</v>
      </c>
      <c r="P15" s="8"/>
    </row>
    <row r="16" spans="1:16" x14ac:dyDescent="0.25">
      <c r="A16" s="1" t="s">
        <v>103</v>
      </c>
      <c r="B16" s="1" t="s">
        <v>154</v>
      </c>
      <c r="C16" s="1" t="s">
        <v>155</v>
      </c>
      <c r="D16" s="1" t="s">
        <v>156</v>
      </c>
      <c r="E16" s="1" t="str">
        <f t="shared" si="0"/>
        <v>Laura Schmidt</v>
      </c>
      <c r="F16" s="1" t="s">
        <v>120</v>
      </c>
      <c r="G16" s="1" t="s">
        <v>6</v>
      </c>
      <c r="H16" s="1" t="s">
        <v>121</v>
      </c>
      <c r="I16" s="3">
        <v>32</v>
      </c>
      <c r="J16" s="3">
        <v>139</v>
      </c>
      <c r="K16" s="4">
        <v>16</v>
      </c>
      <c r="L16" s="16">
        <v>44652</v>
      </c>
      <c r="M16" s="16"/>
      <c r="N16" s="6" t="s">
        <v>157</v>
      </c>
      <c r="O16" s="1" t="s">
        <v>158</v>
      </c>
      <c r="P16" s="8"/>
    </row>
    <row r="17" spans="1:16" x14ac:dyDescent="0.25">
      <c r="A17" s="1" t="s">
        <v>103</v>
      </c>
      <c r="B17" s="1" t="s">
        <v>159</v>
      </c>
      <c r="C17" s="1" t="s">
        <v>160</v>
      </c>
      <c r="D17" s="1" t="s">
        <v>161</v>
      </c>
      <c r="E17" s="1" t="str">
        <f t="shared" si="0"/>
        <v>Sofia Klein</v>
      </c>
      <c r="F17" s="1" t="s">
        <v>162</v>
      </c>
      <c r="G17" s="1" t="s">
        <v>6</v>
      </c>
      <c r="H17" s="1" t="s">
        <v>162</v>
      </c>
      <c r="I17" s="3">
        <v>15</v>
      </c>
      <c r="J17" s="3">
        <v>65</v>
      </c>
      <c r="K17" s="4">
        <v>14.5</v>
      </c>
      <c r="L17" s="16">
        <v>45672</v>
      </c>
      <c r="M17" s="16"/>
      <c r="N17" s="6" t="s">
        <v>163</v>
      </c>
      <c r="O17" s="1" t="s">
        <v>164</v>
      </c>
      <c r="P17" s="8"/>
    </row>
    <row r="18" spans="1:1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21.95" customHeight="1" x14ac:dyDescent="0.25">
      <c r="A20" s="19" t="s">
        <v>165</v>
      </c>
      <c r="B20" s="19" t="s">
        <v>165</v>
      </c>
      <c r="C20" s="19" t="s">
        <v>165</v>
      </c>
      <c r="D20" s="19" t="s">
        <v>165</v>
      </c>
      <c r="E20" s="19" t="s">
        <v>165</v>
      </c>
      <c r="F20" s="19" t="s">
        <v>165</v>
      </c>
      <c r="G20" s="19" t="s">
        <v>165</v>
      </c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24" customHeight="1" x14ac:dyDescent="0.25">
      <c r="A22" s="2" t="s">
        <v>32</v>
      </c>
      <c r="B22" s="2" t="s">
        <v>166</v>
      </c>
      <c r="C22" s="2" t="s">
        <v>167</v>
      </c>
      <c r="D22" s="2" t="s">
        <v>168</v>
      </c>
      <c r="E22" s="2" t="s">
        <v>169</v>
      </c>
      <c r="F22" s="2" t="s">
        <v>30</v>
      </c>
      <c r="G22" s="2" t="s">
        <v>58</v>
      </c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1" t="s">
        <v>70</v>
      </c>
      <c r="B23" s="1" t="s">
        <v>35</v>
      </c>
      <c r="C23" s="16">
        <v>46153</v>
      </c>
      <c r="D23" s="16">
        <v>46157</v>
      </c>
      <c r="E23" s="7">
        <f>IF(OR(C23="",D23=""),"",NETWORKDAYS(C23,D23))</f>
        <v>5</v>
      </c>
      <c r="F23" s="1" t="s">
        <v>170</v>
      </c>
      <c r="G23" s="1" t="s">
        <v>171</v>
      </c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1" t="s">
        <v>76</v>
      </c>
      <c r="B24" s="1" t="s">
        <v>172</v>
      </c>
      <c r="C24" s="16">
        <v>46148</v>
      </c>
      <c r="D24" s="16">
        <v>46148</v>
      </c>
      <c r="E24" s="7">
        <f>IF(OR(C24="",D24=""),"",NETWORKDAYS(C24,D24))</f>
        <v>1</v>
      </c>
      <c r="F24" s="1" t="s">
        <v>170</v>
      </c>
      <c r="G24" s="1" t="s">
        <v>173</v>
      </c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1" t="s">
        <v>74</v>
      </c>
      <c r="B25" s="1" t="s">
        <v>36</v>
      </c>
      <c r="C25" s="16">
        <v>46162</v>
      </c>
      <c r="D25" s="16">
        <v>46163</v>
      </c>
      <c r="E25" s="7">
        <f>IF(OR(C25="",D25=""),"",NETWORKDAYS(C25,D25))</f>
        <v>2</v>
      </c>
      <c r="F25" s="1" t="s">
        <v>174</v>
      </c>
      <c r="G25" s="1" t="s">
        <v>175</v>
      </c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1" t="s">
        <v>80</v>
      </c>
      <c r="B26" s="1" t="s">
        <v>35</v>
      </c>
      <c r="C26" s="16">
        <v>46169</v>
      </c>
      <c r="D26" s="16">
        <v>46171</v>
      </c>
      <c r="E26" s="7">
        <f>IF(OR(C26="",D26=""),"",NETWORKDAYS(C26,D26))</f>
        <v>3</v>
      </c>
      <c r="F26" s="1" t="s">
        <v>176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5">
      <c r="A27" s="1" t="s">
        <v>68</v>
      </c>
      <c r="B27" s="1" t="s">
        <v>177</v>
      </c>
      <c r="C27" s="16">
        <v>46146</v>
      </c>
      <c r="D27" s="16">
        <v>46146</v>
      </c>
      <c r="E27" s="7">
        <f>IF(OR(C27="",D27=""),"",NETWORKDAYS(C27,D27))</f>
        <v>1</v>
      </c>
      <c r="F27" s="1" t="s">
        <v>170</v>
      </c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1"/>
      <c r="B28" s="1"/>
      <c r="C28" s="16"/>
      <c r="D28" s="16"/>
      <c r="E28" s="7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5">
      <c r="A29" s="1"/>
      <c r="B29" s="1"/>
      <c r="C29" s="16"/>
      <c r="D29" s="16"/>
      <c r="E29" s="7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5">
      <c r="A30" s="1"/>
      <c r="B30" s="1"/>
      <c r="C30" s="16"/>
      <c r="D30" s="16"/>
      <c r="E30" s="7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1"/>
      <c r="B31" s="1"/>
      <c r="C31" s="16"/>
      <c r="D31" s="16"/>
      <c r="E31" s="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5">
      <c r="A32" s="1"/>
      <c r="B32" s="1"/>
      <c r="C32" s="16"/>
      <c r="D32" s="16"/>
      <c r="E32" s="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5">
      <c r="A33" s="1"/>
      <c r="B33" s="1"/>
      <c r="C33" s="16"/>
      <c r="D33" s="16"/>
      <c r="E33" s="7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1"/>
      <c r="B34" s="1"/>
      <c r="C34" s="16"/>
      <c r="D34" s="16"/>
      <c r="E34" s="7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1"/>
      <c r="B35" s="1"/>
      <c r="C35" s="16"/>
      <c r="D35" s="16"/>
      <c r="E35" s="7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5">
      <c r="A36" s="1"/>
      <c r="B36" s="1"/>
      <c r="C36" s="16"/>
      <c r="D36" s="16"/>
      <c r="E36" s="7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5">
      <c r="A37" s="1"/>
      <c r="B37" s="1"/>
      <c r="C37" s="16"/>
      <c r="D37" s="16"/>
      <c r="E37" s="7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5">
      <c r="A38" s="1"/>
      <c r="B38" s="1"/>
      <c r="C38" s="16"/>
      <c r="D38" s="16"/>
      <c r="E38" s="7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5">
      <c r="A39" s="1"/>
      <c r="B39" s="1"/>
      <c r="C39" s="16"/>
      <c r="D39" s="16"/>
      <c r="E39" s="7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5">
      <c r="A40" s="1"/>
      <c r="B40" s="1"/>
      <c r="C40" s="16"/>
      <c r="D40" s="16"/>
      <c r="E40" s="7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</sheetData>
  <mergeCells count="3">
    <mergeCell ref="A1:P1"/>
    <mergeCell ref="A3:P3"/>
    <mergeCell ref="A20:G20"/>
  </mergeCells>
  <conditionalFormatting sqref="A8:P17">
    <cfRule type="expression" dxfId="3" priority="1">
      <formula>$A8="Nein"</formula>
    </cfRule>
  </conditionalFormatting>
  <conditionalFormatting sqref="F23:F40">
    <cfRule type="expression" dxfId="2" priority="2">
      <formula>$F23="Genehmigt"</formula>
    </cfRule>
    <cfRule type="expression" dxfId="1" priority="3">
      <formula>$F23="Beantragt"</formula>
    </cfRule>
    <cfRule type="expression" dxfId="0" priority="4">
      <formula>$F23="Abgelehnt"</formula>
    </cfRule>
  </conditionalFormatting>
  <dataValidations count="3">
    <dataValidation type="list" allowBlank="1" sqref="A8:A17" xr:uid="{00000000-0002-0000-0300-000000000000}">
      <formula1>"Ja,Nein"</formula1>
    </dataValidation>
    <dataValidation type="list" allowBlank="1" sqref="A23:A40" xr:uid="{00000000-0002-0000-0300-000003000000}">
      <formula1>$E$8:$E$17</formula1>
    </dataValidation>
    <dataValidation type="list" allowBlank="1" sqref="F23:F40" xr:uid="{00000000-0002-0000-0300-000005000000}">
      <formula1>"Geplant,Beantragt,Genehmigt,Abgelehnt"</formula1>
    </dataValidation>
  </dataValidations>
  <pageMargins left="0.7" right="0.7" top="0.75" bottom="0.75" header="0.3" footer="0.3"/>
  <tableParts count="2">
    <tablePart r:id="rId1"/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300-000001000000}">
          <x14:formula1>
            <xm:f>Listen!$H$4:$H$11</xm:f>
          </x14:formula1>
          <xm:sqref>F8:F17</xm:sqref>
        </x14:dataValidation>
        <x14:dataValidation type="list" allowBlank="1" xr:uid="{00000000-0002-0000-0300-000002000000}">
          <x14:formula1>
            <xm:f>Listen!$J$4:$J$8</xm:f>
          </x14:formula1>
          <xm:sqref>H8:H17</xm:sqref>
        </x14:dataValidation>
        <x14:dataValidation type="list" allowBlank="1" xr:uid="{00000000-0002-0000-0300-000004000000}">
          <x14:formula1>
            <xm:f>Listen!$L$4:$L$8</xm:f>
          </x14:formula1>
          <xm:sqref>B23:B40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80"/>
  <sheetViews>
    <sheetView workbookViewId="0"/>
  </sheetViews>
  <sheetFormatPr baseColWidth="10" defaultColWidth="9" defaultRowHeight="15" x14ac:dyDescent="0.25"/>
  <cols>
    <col min="1" max="1" width="10" customWidth="1"/>
    <col min="2" max="2" width="18" customWidth="1"/>
    <col min="3" max="5" width="10" customWidth="1"/>
    <col min="6" max="6" width="20" customWidth="1"/>
    <col min="8" max="8" width="18" customWidth="1"/>
    <col min="10" max="10" width="18" customWidth="1"/>
    <col min="12" max="12" width="20" customWidth="1"/>
    <col min="14" max="14" width="18" customWidth="1"/>
    <col min="16" max="16" width="14" customWidth="1"/>
  </cols>
  <sheetData>
    <row r="1" spans="1:16" ht="32.1" customHeight="1" x14ac:dyDescent="0.25">
      <c r="A1" s="18" t="s">
        <v>178</v>
      </c>
      <c r="B1" s="18" t="s">
        <v>178</v>
      </c>
      <c r="C1" s="18" t="s">
        <v>178</v>
      </c>
      <c r="D1" s="18" t="s">
        <v>178</v>
      </c>
      <c r="E1" s="18" t="s">
        <v>178</v>
      </c>
      <c r="F1" s="18" t="s">
        <v>178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24" customHeight="1" x14ac:dyDescent="0.25">
      <c r="A3" s="2" t="s">
        <v>179</v>
      </c>
      <c r="B3" s="2" t="s">
        <v>180</v>
      </c>
      <c r="C3" s="2" t="s">
        <v>181</v>
      </c>
      <c r="D3" s="2" t="s">
        <v>182</v>
      </c>
      <c r="E3" s="2" t="s">
        <v>183</v>
      </c>
      <c r="F3" s="2" t="s">
        <v>184</v>
      </c>
      <c r="G3" s="1"/>
      <c r="H3" s="2" t="s">
        <v>185</v>
      </c>
      <c r="I3" s="1"/>
      <c r="J3" s="2" t="s">
        <v>186</v>
      </c>
      <c r="K3" s="1"/>
      <c r="L3" s="2" t="s">
        <v>187</v>
      </c>
      <c r="M3" s="1"/>
      <c r="N3" s="2" t="s">
        <v>188</v>
      </c>
      <c r="O3" s="1"/>
      <c r="P3" s="2" t="s">
        <v>189</v>
      </c>
    </row>
    <row r="4" spans="1:16" x14ac:dyDescent="0.25">
      <c r="A4" s="1" t="s">
        <v>66</v>
      </c>
      <c r="B4" s="1" t="s">
        <v>60</v>
      </c>
      <c r="C4" s="1" t="s">
        <v>190</v>
      </c>
      <c r="D4" s="1" t="s">
        <v>191</v>
      </c>
      <c r="E4" s="1">
        <v>8</v>
      </c>
      <c r="F4" s="1" t="s">
        <v>192</v>
      </c>
      <c r="G4" s="1"/>
      <c r="H4" s="1" t="s">
        <v>107</v>
      </c>
      <c r="I4" s="1"/>
      <c r="J4" s="1" t="s">
        <v>108</v>
      </c>
      <c r="K4" s="1"/>
      <c r="L4" s="1" t="s">
        <v>35</v>
      </c>
      <c r="M4" s="1"/>
      <c r="N4" s="1" t="s">
        <v>193</v>
      </c>
      <c r="O4" s="1"/>
      <c r="P4" s="1" t="s">
        <v>194</v>
      </c>
    </row>
    <row r="5" spans="1:16" x14ac:dyDescent="0.25">
      <c r="A5" s="1" t="s">
        <v>69</v>
      </c>
      <c r="B5" s="1" t="s">
        <v>61</v>
      </c>
      <c r="C5" s="1" t="s">
        <v>191</v>
      </c>
      <c r="D5" s="1" t="s">
        <v>195</v>
      </c>
      <c r="E5" s="1">
        <v>8</v>
      </c>
      <c r="F5" s="1" t="s">
        <v>192</v>
      </c>
      <c r="G5" s="1"/>
      <c r="H5" s="1" t="s">
        <v>114</v>
      </c>
      <c r="I5" s="1"/>
      <c r="J5" s="1" t="s">
        <v>121</v>
      </c>
      <c r="K5" s="1"/>
      <c r="L5" s="1" t="s">
        <v>36</v>
      </c>
      <c r="M5" s="1"/>
      <c r="N5" s="1" t="s">
        <v>196</v>
      </c>
      <c r="O5" s="1"/>
      <c r="P5" s="1" t="s">
        <v>197</v>
      </c>
    </row>
    <row r="6" spans="1:16" x14ac:dyDescent="0.25">
      <c r="A6" s="1" t="s">
        <v>198</v>
      </c>
      <c r="B6" s="1" t="s">
        <v>62</v>
      </c>
      <c r="C6" s="1" t="s">
        <v>195</v>
      </c>
      <c r="D6" s="1" t="s">
        <v>190</v>
      </c>
      <c r="E6" s="1">
        <v>8</v>
      </c>
      <c r="F6" s="1" t="s">
        <v>192</v>
      </c>
      <c r="G6" s="1"/>
      <c r="H6" s="1" t="s">
        <v>120</v>
      </c>
      <c r="I6" s="1"/>
      <c r="J6" s="1" t="s">
        <v>140</v>
      </c>
      <c r="K6" s="1"/>
      <c r="L6" s="1" t="s">
        <v>172</v>
      </c>
      <c r="M6" s="1"/>
      <c r="N6" s="1" t="s">
        <v>199</v>
      </c>
      <c r="O6" s="1"/>
      <c r="P6" s="1" t="s">
        <v>200</v>
      </c>
    </row>
    <row r="7" spans="1:16" x14ac:dyDescent="0.25">
      <c r="A7" s="1" t="s">
        <v>71</v>
      </c>
      <c r="B7" s="1" t="s">
        <v>63</v>
      </c>
      <c r="C7" s="1" t="s">
        <v>201</v>
      </c>
      <c r="D7" s="1" t="s">
        <v>202</v>
      </c>
      <c r="E7" s="1">
        <v>8</v>
      </c>
      <c r="F7" s="1" t="s">
        <v>192</v>
      </c>
      <c r="G7" s="1"/>
      <c r="H7" s="1" t="s">
        <v>127</v>
      </c>
      <c r="I7" s="1"/>
      <c r="J7" s="1" t="s">
        <v>146</v>
      </c>
      <c r="K7" s="1"/>
      <c r="L7" s="1" t="s">
        <v>177</v>
      </c>
      <c r="M7" s="1"/>
      <c r="N7" s="1" t="s">
        <v>203</v>
      </c>
      <c r="O7" s="1"/>
      <c r="P7" s="1" t="s">
        <v>204</v>
      </c>
    </row>
    <row r="8" spans="1:16" x14ac:dyDescent="0.25">
      <c r="A8" s="1" t="s">
        <v>72</v>
      </c>
      <c r="B8" s="1" t="s">
        <v>35</v>
      </c>
      <c r="C8" s="1"/>
      <c r="D8" s="1"/>
      <c r="E8" s="1">
        <v>0</v>
      </c>
      <c r="F8" s="1" t="s">
        <v>205</v>
      </c>
      <c r="G8" s="1"/>
      <c r="H8" s="1" t="s">
        <v>133</v>
      </c>
      <c r="I8" s="1"/>
      <c r="J8" s="1" t="s">
        <v>162</v>
      </c>
      <c r="K8" s="1"/>
      <c r="L8" s="1" t="s">
        <v>206</v>
      </c>
      <c r="M8" s="1"/>
      <c r="N8" s="1" t="s">
        <v>21</v>
      </c>
      <c r="O8" s="1"/>
      <c r="P8" s="1" t="s">
        <v>10</v>
      </c>
    </row>
    <row r="9" spans="1:16" x14ac:dyDescent="0.25">
      <c r="A9" s="1" t="s">
        <v>75</v>
      </c>
      <c r="B9" s="1" t="s">
        <v>36</v>
      </c>
      <c r="C9" s="1"/>
      <c r="D9" s="1"/>
      <c r="E9" s="1">
        <v>0</v>
      </c>
      <c r="F9" s="1" t="s">
        <v>205</v>
      </c>
      <c r="G9" s="1"/>
      <c r="H9" s="1" t="s">
        <v>207</v>
      </c>
      <c r="I9" s="1"/>
      <c r="J9" s="1"/>
      <c r="K9" s="1"/>
      <c r="L9" s="1"/>
      <c r="M9" s="1"/>
      <c r="N9" s="1" t="s">
        <v>208</v>
      </c>
      <c r="O9" s="1"/>
      <c r="P9" s="1" t="s">
        <v>209</v>
      </c>
    </row>
    <row r="10" spans="1:16" x14ac:dyDescent="0.25">
      <c r="A10" s="1" t="s">
        <v>67</v>
      </c>
      <c r="B10" s="1" t="s">
        <v>67</v>
      </c>
      <c r="C10" s="1"/>
      <c r="D10" s="1"/>
      <c r="E10" s="1">
        <v>0</v>
      </c>
      <c r="F10" s="1" t="s">
        <v>210</v>
      </c>
      <c r="G10" s="1"/>
      <c r="H10" s="1" t="s">
        <v>211</v>
      </c>
      <c r="I10" s="1"/>
      <c r="J10" s="1"/>
      <c r="K10" s="1"/>
      <c r="L10" s="1"/>
      <c r="M10" s="1"/>
      <c r="N10" s="1" t="s">
        <v>174</v>
      </c>
      <c r="O10" s="1"/>
      <c r="P10" s="1" t="s">
        <v>212</v>
      </c>
    </row>
    <row r="11" spans="1:16" x14ac:dyDescent="0.25">
      <c r="A11" s="1"/>
      <c r="B11" s="1"/>
      <c r="C11" s="1"/>
      <c r="D11" s="1"/>
      <c r="E11" s="1"/>
      <c r="F11" s="1"/>
      <c r="G11" s="1"/>
      <c r="H11" s="1" t="s">
        <v>139</v>
      </c>
      <c r="I11" s="1"/>
      <c r="J11" s="1"/>
      <c r="K11" s="1"/>
      <c r="L11" s="1"/>
      <c r="M11" s="1"/>
      <c r="N11" s="1" t="s">
        <v>176</v>
      </c>
      <c r="O11" s="1"/>
      <c r="P11" s="1" t="s">
        <v>213</v>
      </c>
    </row>
    <row r="12" spans="1:1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 t="s">
        <v>170</v>
      </c>
      <c r="O12" s="1"/>
      <c r="P12" s="1" t="s">
        <v>214</v>
      </c>
    </row>
    <row r="13" spans="1:1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 t="s">
        <v>215</v>
      </c>
      <c r="O13" s="1"/>
      <c r="P13" s="1" t="s">
        <v>216</v>
      </c>
    </row>
    <row r="14" spans="1:1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 t="s">
        <v>217</v>
      </c>
    </row>
    <row r="15" spans="1:1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 t="s">
        <v>218</v>
      </c>
    </row>
    <row r="16" spans="1:1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1"/>
      <c r="B21" s="5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1"/>
      <c r="B22" s="1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1"/>
      <c r="B23" s="1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1"/>
      <c r="B24" s="15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1"/>
      <c r="B26" s="16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</sheetData>
  <mergeCells count="1">
    <mergeCell ref="A1:F1"/>
  </mergeCells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Übersicht</vt:lpstr>
      <vt:lpstr>Wochenplan</vt:lpstr>
      <vt:lpstr>Monatsplan</vt:lpstr>
      <vt:lpstr>Mitarbeiter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2026-04-28T13:26:33Z</dcterms:modified>
</cp:coreProperties>
</file>