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nerador\"/>
    </mc:Choice>
  </mc:AlternateContent>
  <xr:revisionPtr revIDLastSave="0" documentId="13_ncr:1_{E30E17DC-E0AF-4FF3-B721-C974D7F851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shboard" sheetId="1" r:id="rId1"/>
    <sheet name="Arbeitsplan" sheetId="2" r:id="rId2"/>
    <sheet name="Mitarbeiter" sheetId="3" r:id="rId3"/>
    <sheet name="Abwesenheiten" sheetId="4" r:id="rId4"/>
    <sheet name="Listen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4" l="1"/>
  <c r="E8" i="4"/>
  <c r="E7" i="4"/>
  <c r="E6" i="4"/>
  <c r="N157" i="2"/>
  <c r="L157" i="2"/>
  <c r="K157" i="2"/>
  <c r="F157" i="2"/>
  <c r="E157" i="2"/>
  <c r="C157" i="2"/>
  <c r="B157" i="2"/>
  <c r="N156" i="2"/>
  <c r="L156" i="2"/>
  <c r="K156" i="2"/>
  <c r="M156" i="2" s="1"/>
  <c r="R156" i="2" s="1"/>
  <c r="F156" i="2"/>
  <c r="E156" i="2"/>
  <c r="C156" i="2"/>
  <c r="B156" i="2"/>
  <c r="N155" i="2"/>
  <c r="L155" i="2"/>
  <c r="K155" i="2"/>
  <c r="F155" i="2"/>
  <c r="E155" i="2"/>
  <c r="C155" i="2"/>
  <c r="B155" i="2"/>
  <c r="N154" i="2"/>
  <c r="L154" i="2"/>
  <c r="K154" i="2"/>
  <c r="M154" i="2" s="1"/>
  <c r="R154" i="2" s="1"/>
  <c r="F154" i="2"/>
  <c r="E154" i="2"/>
  <c r="C154" i="2"/>
  <c r="B154" i="2"/>
  <c r="N153" i="2"/>
  <c r="L153" i="2"/>
  <c r="K153" i="2"/>
  <c r="F153" i="2"/>
  <c r="E153" i="2"/>
  <c r="C153" i="2"/>
  <c r="B153" i="2"/>
  <c r="N152" i="2"/>
  <c r="L152" i="2"/>
  <c r="K152" i="2"/>
  <c r="O152" i="2" s="1"/>
  <c r="F152" i="2"/>
  <c r="E152" i="2"/>
  <c r="C152" i="2"/>
  <c r="B152" i="2"/>
  <c r="N151" i="2"/>
  <c r="L151" i="2"/>
  <c r="K151" i="2"/>
  <c r="F151" i="2"/>
  <c r="E151" i="2"/>
  <c r="C151" i="2"/>
  <c r="B151" i="2"/>
  <c r="N150" i="2"/>
  <c r="L150" i="2"/>
  <c r="M150" i="2" s="1"/>
  <c r="R150" i="2" s="1"/>
  <c r="K150" i="2"/>
  <c r="O150" i="2" s="1"/>
  <c r="F150" i="2"/>
  <c r="E150" i="2"/>
  <c r="C150" i="2"/>
  <c r="B150" i="2"/>
  <c r="N149" i="2"/>
  <c r="L149" i="2"/>
  <c r="K149" i="2"/>
  <c r="F149" i="2"/>
  <c r="E149" i="2"/>
  <c r="C149" i="2"/>
  <c r="B149" i="2"/>
  <c r="N148" i="2"/>
  <c r="L148" i="2"/>
  <c r="K148" i="2"/>
  <c r="O148" i="2" s="1"/>
  <c r="F148" i="2"/>
  <c r="E148" i="2"/>
  <c r="C148" i="2"/>
  <c r="B148" i="2"/>
  <c r="N147" i="2"/>
  <c r="L147" i="2"/>
  <c r="K147" i="2"/>
  <c r="F147" i="2"/>
  <c r="E147" i="2"/>
  <c r="C147" i="2"/>
  <c r="B147" i="2"/>
  <c r="O146" i="2"/>
  <c r="N146" i="2"/>
  <c r="L146" i="2"/>
  <c r="K146" i="2"/>
  <c r="M146" i="2" s="1"/>
  <c r="R146" i="2" s="1"/>
  <c r="F146" i="2"/>
  <c r="E146" i="2"/>
  <c r="C146" i="2"/>
  <c r="B146" i="2"/>
  <c r="N145" i="2"/>
  <c r="L145" i="2"/>
  <c r="K145" i="2"/>
  <c r="F145" i="2"/>
  <c r="E145" i="2"/>
  <c r="C145" i="2"/>
  <c r="B145" i="2"/>
  <c r="R144" i="2"/>
  <c r="N144" i="2"/>
  <c r="O144" i="2" s="1"/>
  <c r="M144" i="2"/>
  <c r="L144" i="2"/>
  <c r="K144" i="2"/>
  <c r="F144" i="2"/>
  <c r="E144" i="2"/>
  <c r="C144" i="2"/>
  <c r="B144" i="2"/>
  <c r="N143" i="2"/>
  <c r="L143" i="2"/>
  <c r="K143" i="2"/>
  <c r="F143" i="2"/>
  <c r="E143" i="2"/>
  <c r="C143" i="2"/>
  <c r="B143" i="2"/>
  <c r="N142" i="2"/>
  <c r="O142" i="2" s="1"/>
  <c r="L142" i="2"/>
  <c r="K142" i="2"/>
  <c r="M142" i="2" s="1"/>
  <c r="R142" i="2" s="1"/>
  <c r="F142" i="2"/>
  <c r="E142" i="2"/>
  <c r="C142" i="2"/>
  <c r="B142" i="2"/>
  <c r="N141" i="2"/>
  <c r="L141" i="2"/>
  <c r="K141" i="2"/>
  <c r="F141" i="2"/>
  <c r="E141" i="2"/>
  <c r="C141" i="2"/>
  <c r="B141" i="2"/>
  <c r="N140" i="2"/>
  <c r="O140" i="2" s="1"/>
  <c r="L140" i="2"/>
  <c r="M140" i="2" s="1"/>
  <c r="R140" i="2" s="1"/>
  <c r="K140" i="2"/>
  <c r="F140" i="2"/>
  <c r="E140" i="2"/>
  <c r="C140" i="2"/>
  <c r="B140" i="2"/>
  <c r="N139" i="2"/>
  <c r="L139" i="2"/>
  <c r="K139" i="2"/>
  <c r="F139" i="2"/>
  <c r="E139" i="2"/>
  <c r="C139" i="2"/>
  <c r="B139" i="2"/>
  <c r="N138" i="2"/>
  <c r="L138" i="2"/>
  <c r="K138" i="2"/>
  <c r="O138" i="2" s="1"/>
  <c r="F138" i="2"/>
  <c r="E138" i="2"/>
  <c r="C138" i="2"/>
  <c r="B138" i="2"/>
  <c r="N137" i="2"/>
  <c r="L137" i="2"/>
  <c r="K137" i="2"/>
  <c r="F137" i="2"/>
  <c r="E137" i="2"/>
  <c r="C137" i="2"/>
  <c r="B137" i="2"/>
  <c r="N136" i="2"/>
  <c r="L136" i="2"/>
  <c r="K136" i="2"/>
  <c r="O136" i="2" s="1"/>
  <c r="F136" i="2"/>
  <c r="E136" i="2"/>
  <c r="C136" i="2"/>
  <c r="B136" i="2"/>
  <c r="N135" i="2"/>
  <c r="L135" i="2"/>
  <c r="K135" i="2"/>
  <c r="F135" i="2"/>
  <c r="E135" i="2"/>
  <c r="C135" i="2"/>
  <c r="B135" i="2"/>
  <c r="N134" i="2"/>
  <c r="L134" i="2"/>
  <c r="K134" i="2"/>
  <c r="M134" i="2" s="1"/>
  <c r="R134" i="2" s="1"/>
  <c r="F134" i="2"/>
  <c r="E134" i="2"/>
  <c r="C134" i="2"/>
  <c r="B134" i="2"/>
  <c r="N133" i="2"/>
  <c r="L133" i="2"/>
  <c r="K133" i="2"/>
  <c r="F133" i="2"/>
  <c r="E133" i="2"/>
  <c r="C133" i="2"/>
  <c r="B133" i="2"/>
  <c r="N132" i="2"/>
  <c r="L132" i="2"/>
  <c r="K132" i="2"/>
  <c r="D53" i="1" s="1"/>
  <c r="F132" i="2"/>
  <c r="E132" i="2"/>
  <c r="C132" i="2"/>
  <c r="B132" i="2"/>
  <c r="N131" i="2"/>
  <c r="L131" i="2"/>
  <c r="K131" i="2"/>
  <c r="F131" i="2"/>
  <c r="E131" i="2"/>
  <c r="C131" i="2"/>
  <c r="B131" i="2"/>
  <c r="N130" i="2"/>
  <c r="L130" i="2"/>
  <c r="M130" i="2" s="1"/>
  <c r="R130" i="2" s="1"/>
  <c r="K130" i="2"/>
  <c r="O130" i="2" s="1"/>
  <c r="F130" i="2"/>
  <c r="E130" i="2"/>
  <c r="C130" i="2"/>
  <c r="B130" i="2"/>
  <c r="N129" i="2"/>
  <c r="L129" i="2"/>
  <c r="C24" i="1" s="1"/>
  <c r="K129" i="2"/>
  <c r="D24" i="1" s="1"/>
  <c r="F129" i="2"/>
  <c r="E129" i="2"/>
  <c r="C129" i="2"/>
  <c r="B129" i="2"/>
  <c r="N128" i="2"/>
  <c r="L128" i="2"/>
  <c r="K128" i="2"/>
  <c r="O128" i="2" s="1"/>
  <c r="F128" i="2"/>
  <c r="E128" i="2"/>
  <c r="C128" i="2"/>
  <c r="B128" i="2"/>
  <c r="N127" i="2"/>
  <c r="L127" i="2"/>
  <c r="K127" i="2"/>
  <c r="F127" i="2"/>
  <c r="E127" i="2"/>
  <c r="C127" i="2"/>
  <c r="B127" i="2"/>
  <c r="O126" i="2"/>
  <c r="N126" i="2"/>
  <c r="L126" i="2"/>
  <c r="K126" i="2"/>
  <c r="M126" i="2" s="1"/>
  <c r="R126" i="2" s="1"/>
  <c r="F126" i="2"/>
  <c r="E126" i="2"/>
  <c r="C126" i="2"/>
  <c r="B126" i="2"/>
  <c r="N125" i="2"/>
  <c r="L125" i="2"/>
  <c r="K125" i="2"/>
  <c r="F125" i="2"/>
  <c r="E125" i="2"/>
  <c r="C125" i="2"/>
  <c r="B125" i="2"/>
  <c r="R124" i="2"/>
  <c r="N124" i="2"/>
  <c r="O124" i="2" s="1"/>
  <c r="M124" i="2"/>
  <c r="L124" i="2"/>
  <c r="K124" i="2"/>
  <c r="F124" i="2"/>
  <c r="E124" i="2"/>
  <c r="C124" i="2"/>
  <c r="B124" i="2"/>
  <c r="N123" i="2"/>
  <c r="L123" i="2"/>
  <c r="K123" i="2"/>
  <c r="F123" i="2"/>
  <c r="E123" i="2"/>
  <c r="C123" i="2"/>
  <c r="B123" i="2"/>
  <c r="N122" i="2"/>
  <c r="O122" i="2" s="1"/>
  <c r="L122" i="2"/>
  <c r="K122" i="2"/>
  <c r="M122" i="2" s="1"/>
  <c r="R122" i="2" s="1"/>
  <c r="F122" i="2"/>
  <c r="E122" i="2"/>
  <c r="C122" i="2"/>
  <c r="B122" i="2"/>
  <c r="R121" i="2"/>
  <c r="N121" i="2"/>
  <c r="L121" i="2"/>
  <c r="K121" i="2"/>
  <c r="F121" i="2"/>
  <c r="E121" i="2"/>
  <c r="C121" i="2"/>
  <c r="B121" i="2"/>
  <c r="N120" i="2"/>
  <c r="O120" i="2" s="1"/>
  <c r="L120" i="2"/>
  <c r="M120" i="2" s="1"/>
  <c r="R120" i="2" s="1"/>
  <c r="K120" i="2"/>
  <c r="F120" i="2"/>
  <c r="E120" i="2"/>
  <c r="C120" i="2"/>
  <c r="B120" i="2"/>
  <c r="N119" i="2"/>
  <c r="L119" i="2"/>
  <c r="K119" i="2"/>
  <c r="F119" i="2"/>
  <c r="E119" i="2"/>
  <c r="C119" i="2"/>
  <c r="B119" i="2"/>
  <c r="N118" i="2"/>
  <c r="L118" i="2"/>
  <c r="K118" i="2"/>
  <c r="D51" i="1" s="1"/>
  <c r="F118" i="2"/>
  <c r="E118" i="2"/>
  <c r="C118" i="2"/>
  <c r="B118" i="2"/>
  <c r="N117" i="2"/>
  <c r="L117" i="2"/>
  <c r="K117" i="2"/>
  <c r="F117" i="2"/>
  <c r="E117" i="2"/>
  <c r="C117" i="2"/>
  <c r="B117" i="2"/>
  <c r="N116" i="2"/>
  <c r="L116" i="2"/>
  <c r="K116" i="2"/>
  <c r="O116" i="2" s="1"/>
  <c r="F116" i="2"/>
  <c r="E116" i="2"/>
  <c r="C116" i="2"/>
  <c r="B116" i="2"/>
  <c r="N115" i="2"/>
  <c r="L115" i="2"/>
  <c r="K115" i="2"/>
  <c r="F115" i="2"/>
  <c r="E115" i="2"/>
  <c r="C115" i="2"/>
  <c r="B115" i="2"/>
  <c r="N114" i="2"/>
  <c r="L114" i="2"/>
  <c r="K114" i="2"/>
  <c r="M114" i="2" s="1"/>
  <c r="R114" i="2" s="1"/>
  <c r="F114" i="2"/>
  <c r="E114" i="2"/>
  <c r="C114" i="2"/>
  <c r="B114" i="2"/>
  <c r="N113" i="2"/>
  <c r="L113" i="2"/>
  <c r="K113" i="2"/>
  <c r="F113" i="2"/>
  <c r="E113" i="2"/>
  <c r="C113" i="2"/>
  <c r="B113" i="2"/>
  <c r="N112" i="2"/>
  <c r="L112" i="2"/>
  <c r="K112" i="2"/>
  <c r="O112" i="2" s="1"/>
  <c r="F112" i="2"/>
  <c r="E112" i="2"/>
  <c r="C112" i="2"/>
  <c r="B112" i="2"/>
  <c r="N111" i="2"/>
  <c r="L111" i="2"/>
  <c r="K111" i="2"/>
  <c r="F111" i="2"/>
  <c r="E111" i="2"/>
  <c r="C111" i="2"/>
  <c r="B111" i="2"/>
  <c r="N110" i="2"/>
  <c r="L110" i="2"/>
  <c r="M110" i="2" s="1"/>
  <c r="R110" i="2" s="1"/>
  <c r="K110" i="2"/>
  <c r="D49" i="1" s="1"/>
  <c r="F110" i="2"/>
  <c r="E110" i="2"/>
  <c r="C110" i="2"/>
  <c r="B110" i="2"/>
  <c r="N109" i="2"/>
  <c r="L109" i="2"/>
  <c r="K109" i="2"/>
  <c r="F109" i="2"/>
  <c r="E109" i="2"/>
  <c r="C109" i="2"/>
  <c r="B109" i="2"/>
  <c r="N108" i="2"/>
  <c r="L108" i="2"/>
  <c r="K108" i="2"/>
  <c r="O108" i="2" s="1"/>
  <c r="F108" i="2"/>
  <c r="E108" i="2"/>
  <c r="C108" i="2"/>
  <c r="B108" i="2"/>
  <c r="N107" i="2"/>
  <c r="L107" i="2"/>
  <c r="K107" i="2"/>
  <c r="D48" i="1" s="1"/>
  <c r="F107" i="2"/>
  <c r="E107" i="2"/>
  <c r="C107" i="2"/>
  <c r="B107" i="2"/>
  <c r="R106" i="2"/>
  <c r="O106" i="2"/>
  <c r="N106" i="2"/>
  <c r="M106" i="2"/>
  <c r="L106" i="2"/>
  <c r="K106" i="2"/>
  <c r="F106" i="2"/>
  <c r="E106" i="2"/>
  <c r="C106" i="2"/>
  <c r="B106" i="2"/>
  <c r="N105" i="2"/>
  <c r="L105" i="2"/>
  <c r="K105" i="2"/>
  <c r="F105" i="2"/>
  <c r="E105" i="2"/>
  <c r="C105" i="2"/>
  <c r="B105" i="2"/>
  <c r="R104" i="2"/>
  <c r="N104" i="2"/>
  <c r="O104" i="2" s="1"/>
  <c r="M104" i="2"/>
  <c r="L104" i="2"/>
  <c r="K104" i="2"/>
  <c r="F104" i="2"/>
  <c r="E104" i="2"/>
  <c r="C104" i="2"/>
  <c r="B104" i="2"/>
  <c r="N103" i="2"/>
  <c r="L103" i="2"/>
  <c r="K103" i="2"/>
  <c r="F103" i="2"/>
  <c r="E103" i="2"/>
  <c r="C103" i="2"/>
  <c r="B103" i="2"/>
  <c r="N102" i="2"/>
  <c r="O102" i="2" s="1"/>
  <c r="L102" i="2"/>
  <c r="K102" i="2"/>
  <c r="M102" i="2" s="1"/>
  <c r="R102" i="2" s="1"/>
  <c r="F102" i="2"/>
  <c r="E102" i="2"/>
  <c r="C102" i="2"/>
  <c r="B102" i="2"/>
  <c r="N101" i="2"/>
  <c r="L101" i="2"/>
  <c r="K101" i="2"/>
  <c r="F101" i="2"/>
  <c r="E101" i="2"/>
  <c r="C101" i="2"/>
  <c r="B101" i="2"/>
  <c r="N100" i="2"/>
  <c r="O100" i="2" s="1"/>
  <c r="L100" i="2"/>
  <c r="M100" i="2" s="1"/>
  <c r="R100" i="2" s="1"/>
  <c r="K100" i="2"/>
  <c r="F100" i="2"/>
  <c r="E100" i="2"/>
  <c r="C100" i="2"/>
  <c r="B100" i="2"/>
  <c r="N99" i="2"/>
  <c r="L99" i="2"/>
  <c r="K99" i="2"/>
  <c r="F99" i="2"/>
  <c r="E99" i="2"/>
  <c r="C99" i="2"/>
  <c r="B99" i="2"/>
  <c r="N98" i="2"/>
  <c r="L98" i="2"/>
  <c r="K98" i="2"/>
  <c r="O98" i="2" s="1"/>
  <c r="F98" i="2"/>
  <c r="E98" i="2"/>
  <c r="C98" i="2"/>
  <c r="B98" i="2"/>
  <c r="N97" i="2"/>
  <c r="L97" i="2"/>
  <c r="K97" i="2"/>
  <c r="F97" i="2"/>
  <c r="E97" i="2"/>
  <c r="C97" i="2"/>
  <c r="B97" i="2"/>
  <c r="N96" i="2"/>
  <c r="L96" i="2"/>
  <c r="K96" i="2"/>
  <c r="O96" i="2" s="1"/>
  <c r="F96" i="2"/>
  <c r="E96" i="2"/>
  <c r="C96" i="2"/>
  <c r="B96" i="2"/>
  <c r="N95" i="2"/>
  <c r="L95" i="2"/>
  <c r="K95" i="2"/>
  <c r="F95" i="2"/>
  <c r="E95" i="2"/>
  <c r="C95" i="2"/>
  <c r="B95" i="2"/>
  <c r="N94" i="2"/>
  <c r="L94" i="2"/>
  <c r="K94" i="2"/>
  <c r="M94" i="2" s="1"/>
  <c r="R94" i="2" s="1"/>
  <c r="F94" i="2"/>
  <c r="E94" i="2"/>
  <c r="C94" i="2"/>
  <c r="B94" i="2"/>
  <c r="N93" i="2"/>
  <c r="L93" i="2"/>
  <c r="K93" i="2"/>
  <c r="F93" i="2"/>
  <c r="E93" i="2"/>
  <c r="C93" i="2"/>
  <c r="B93" i="2"/>
  <c r="N92" i="2"/>
  <c r="L92" i="2"/>
  <c r="K92" i="2"/>
  <c r="D45" i="1" s="1"/>
  <c r="F92" i="2"/>
  <c r="E92" i="2"/>
  <c r="C92" i="2"/>
  <c r="B92" i="2"/>
  <c r="N91" i="2"/>
  <c r="L91" i="2"/>
  <c r="K91" i="2"/>
  <c r="F91" i="2"/>
  <c r="E91" i="2"/>
  <c r="C91" i="2"/>
  <c r="B91" i="2"/>
  <c r="R90" i="2"/>
  <c r="N90" i="2"/>
  <c r="L90" i="2"/>
  <c r="M90" i="2" s="1"/>
  <c r="K90" i="2"/>
  <c r="O90" i="2" s="1"/>
  <c r="F90" i="2"/>
  <c r="E90" i="2"/>
  <c r="C90" i="2"/>
  <c r="B90" i="2"/>
  <c r="N89" i="2"/>
  <c r="L89" i="2"/>
  <c r="K89" i="2"/>
  <c r="F89" i="2"/>
  <c r="E89" i="2"/>
  <c r="C89" i="2"/>
  <c r="B89" i="2"/>
  <c r="N88" i="2"/>
  <c r="L88" i="2"/>
  <c r="K88" i="2"/>
  <c r="O88" i="2" s="1"/>
  <c r="F88" i="2"/>
  <c r="E88" i="2"/>
  <c r="C88" i="2"/>
  <c r="B88" i="2"/>
  <c r="N87" i="2"/>
  <c r="L87" i="2"/>
  <c r="K87" i="2"/>
  <c r="F87" i="2"/>
  <c r="E87" i="2"/>
  <c r="C87" i="2"/>
  <c r="B87" i="2"/>
  <c r="R86" i="2"/>
  <c r="O86" i="2"/>
  <c r="N86" i="2"/>
  <c r="M86" i="2"/>
  <c r="L86" i="2"/>
  <c r="K86" i="2"/>
  <c r="F86" i="2"/>
  <c r="E86" i="2"/>
  <c r="C86" i="2"/>
  <c r="B86" i="2"/>
  <c r="N85" i="2"/>
  <c r="L85" i="2"/>
  <c r="K85" i="2"/>
  <c r="D44" i="1" s="1"/>
  <c r="F85" i="2"/>
  <c r="E85" i="2"/>
  <c r="C85" i="2"/>
  <c r="B85" i="2"/>
  <c r="R84" i="2"/>
  <c r="N84" i="2"/>
  <c r="O84" i="2" s="1"/>
  <c r="M84" i="2"/>
  <c r="L84" i="2"/>
  <c r="K84" i="2"/>
  <c r="F84" i="2"/>
  <c r="E84" i="2"/>
  <c r="C84" i="2"/>
  <c r="B84" i="2"/>
  <c r="R83" i="2"/>
  <c r="N83" i="2"/>
  <c r="L83" i="2"/>
  <c r="K83" i="2"/>
  <c r="F83" i="2"/>
  <c r="E83" i="2"/>
  <c r="C83" i="2"/>
  <c r="B83" i="2"/>
  <c r="N82" i="2"/>
  <c r="O82" i="2" s="1"/>
  <c r="L82" i="2"/>
  <c r="K82" i="2"/>
  <c r="M82" i="2" s="1"/>
  <c r="R82" i="2" s="1"/>
  <c r="F82" i="2"/>
  <c r="E82" i="2"/>
  <c r="C82" i="2"/>
  <c r="B82" i="2"/>
  <c r="N81" i="2"/>
  <c r="L81" i="2"/>
  <c r="K81" i="2"/>
  <c r="F81" i="2"/>
  <c r="E81" i="2"/>
  <c r="C81" i="2"/>
  <c r="B81" i="2"/>
  <c r="N80" i="2"/>
  <c r="O80" i="2" s="1"/>
  <c r="L80" i="2"/>
  <c r="M80" i="2" s="1"/>
  <c r="R80" i="2" s="1"/>
  <c r="K80" i="2"/>
  <c r="F80" i="2"/>
  <c r="E80" i="2"/>
  <c r="C80" i="2"/>
  <c r="B80" i="2"/>
  <c r="N79" i="2"/>
  <c r="L79" i="2"/>
  <c r="K79" i="2"/>
  <c r="F79" i="2"/>
  <c r="E79" i="2"/>
  <c r="C79" i="2"/>
  <c r="B79" i="2"/>
  <c r="N78" i="2"/>
  <c r="L78" i="2"/>
  <c r="K78" i="2"/>
  <c r="D43" i="1" s="1"/>
  <c r="F78" i="2"/>
  <c r="E78" i="2"/>
  <c r="C78" i="2"/>
  <c r="B78" i="2"/>
  <c r="N77" i="2"/>
  <c r="L77" i="2"/>
  <c r="K77" i="2"/>
  <c r="F77" i="2"/>
  <c r="E77" i="2"/>
  <c r="C77" i="2"/>
  <c r="B77" i="2"/>
  <c r="N76" i="2"/>
  <c r="L76" i="2"/>
  <c r="K76" i="2"/>
  <c r="O76" i="2" s="1"/>
  <c r="F76" i="2"/>
  <c r="E76" i="2"/>
  <c r="C76" i="2"/>
  <c r="B76" i="2"/>
  <c r="N75" i="2"/>
  <c r="L75" i="2"/>
  <c r="K75" i="2"/>
  <c r="F75" i="2"/>
  <c r="E75" i="2"/>
  <c r="C75" i="2"/>
  <c r="B75" i="2"/>
  <c r="N74" i="2"/>
  <c r="L74" i="2"/>
  <c r="K74" i="2"/>
  <c r="M74" i="2" s="1"/>
  <c r="R74" i="2" s="1"/>
  <c r="F74" i="2"/>
  <c r="E74" i="2"/>
  <c r="C74" i="2"/>
  <c r="B74" i="2"/>
  <c r="N73" i="2"/>
  <c r="L73" i="2"/>
  <c r="K73" i="2"/>
  <c r="F73" i="2"/>
  <c r="E73" i="2"/>
  <c r="C73" i="2"/>
  <c r="B73" i="2"/>
  <c r="N72" i="2"/>
  <c r="L72" i="2"/>
  <c r="K72" i="2"/>
  <c r="O72" i="2" s="1"/>
  <c r="F72" i="2"/>
  <c r="E72" i="2"/>
  <c r="C72" i="2"/>
  <c r="B72" i="2"/>
  <c r="N71" i="2"/>
  <c r="L71" i="2"/>
  <c r="K71" i="2"/>
  <c r="F71" i="2"/>
  <c r="E71" i="2"/>
  <c r="C71" i="2"/>
  <c r="B71" i="2"/>
  <c r="N70" i="2"/>
  <c r="L70" i="2"/>
  <c r="M70" i="2" s="1"/>
  <c r="R70" i="2" s="1"/>
  <c r="K70" i="2"/>
  <c r="O70" i="2" s="1"/>
  <c r="F70" i="2"/>
  <c r="E70" i="2"/>
  <c r="C70" i="2"/>
  <c r="B70" i="2"/>
  <c r="N69" i="2"/>
  <c r="L69" i="2"/>
  <c r="K69" i="2"/>
  <c r="F69" i="2"/>
  <c r="E69" i="2"/>
  <c r="C69" i="2"/>
  <c r="B69" i="2"/>
  <c r="N68" i="2"/>
  <c r="L68" i="2"/>
  <c r="K68" i="2"/>
  <c r="O68" i="2" s="1"/>
  <c r="F68" i="2"/>
  <c r="E68" i="2"/>
  <c r="C68" i="2"/>
  <c r="B68" i="2"/>
  <c r="N67" i="2"/>
  <c r="L67" i="2"/>
  <c r="K67" i="2"/>
  <c r="F67" i="2"/>
  <c r="E67" i="2"/>
  <c r="C67" i="2"/>
  <c r="B67" i="2"/>
  <c r="R66" i="2"/>
  <c r="O66" i="2"/>
  <c r="N66" i="2"/>
  <c r="M66" i="2"/>
  <c r="L66" i="2"/>
  <c r="K66" i="2"/>
  <c r="F66" i="2"/>
  <c r="E66" i="2"/>
  <c r="C66" i="2"/>
  <c r="B66" i="2"/>
  <c r="N65" i="2"/>
  <c r="L65" i="2"/>
  <c r="K65" i="2"/>
  <c r="F65" i="2"/>
  <c r="E65" i="2"/>
  <c r="C65" i="2"/>
  <c r="B65" i="2"/>
  <c r="R64" i="2"/>
  <c r="N64" i="2"/>
  <c r="M64" i="2"/>
  <c r="L64" i="2"/>
  <c r="K64" i="2"/>
  <c r="O64" i="2" s="1"/>
  <c r="F64" i="2"/>
  <c r="E64" i="2"/>
  <c r="C64" i="2"/>
  <c r="B64" i="2"/>
  <c r="N63" i="2"/>
  <c r="L63" i="2"/>
  <c r="K63" i="2"/>
  <c r="F63" i="2"/>
  <c r="E63" i="2"/>
  <c r="C63" i="2"/>
  <c r="B63" i="2"/>
  <c r="N62" i="2"/>
  <c r="O62" i="2" s="1"/>
  <c r="L62" i="2"/>
  <c r="K62" i="2"/>
  <c r="M62" i="2" s="1"/>
  <c r="R62" i="2" s="1"/>
  <c r="F62" i="2"/>
  <c r="E62" i="2"/>
  <c r="C62" i="2"/>
  <c r="B62" i="2"/>
  <c r="N61" i="2"/>
  <c r="L61" i="2"/>
  <c r="K61" i="2"/>
  <c r="F61" i="2"/>
  <c r="E61" i="2"/>
  <c r="C61" i="2"/>
  <c r="B61" i="2"/>
  <c r="R60" i="2"/>
  <c r="N60" i="2"/>
  <c r="O60" i="2" s="1"/>
  <c r="L60" i="2"/>
  <c r="M60" i="2" s="1"/>
  <c r="K60" i="2"/>
  <c r="F60" i="2"/>
  <c r="E60" i="2"/>
  <c r="C60" i="2"/>
  <c r="B60" i="2"/>
  <c r="N59" i="2"/>
  <c r="L59" i="2"/>
  <c r="K59" i="2"/>
  <c r="F59" i="2"/>
  <c r="E59" i="2"/>
  <c r="C59" i="2"/>
  <c r="B59" i="2"/>
  <c r="N58" i="2"/>
  <c r="L58" i="2"/>
  <c r="K58" i="2"/>
  <c r="O58" i="2" s="1"/>
  <c r="F58" i="2"/>
  <c r="E58" i="2"/>
  <c r="C58" i="2"/>
  <c r="B58" i="2"/>
  <c r="N57" i="2"/>
  <c r="L57" i="2"/>
  <c r="K57" i="2"/>
  <c r="F57" i="2"/>
  <c r="E57" i="2"/>
  <c r="C57" i="2"/>
  <c r="B57" i="2"/>
  <c r="N56" i="2"/>
  <c r="L56" i="2"/>
  <c r="K56" i="2"/>
  <c r="O56" i="2" s="1"/>
  <c r="F56" i="2"/>
  <c r="E56" i="2"/>
  <c r="C56" i="2"/>
  <c r="B56" i="2"/>
  <c r="N55" i="2"/>
  <c r="L55" i="2"/>
  <c r="K55" i="2"/>
  <c r="F55" i="2"/>
  <c r="E55" i="2"/>
  <c r="C55" i="2"/>
  <c r="B55" i="2"/>
  <c r="N54" i="2"/>
  <c r="L54" i="2"/>
  <c r="K54" i="2"/>
  <c r="M54" i="2" s="1"/>
  <c r="R54" i="2" s="1"/>
  <c r="F54" i="2"/>
  <c r="E54" i="2"/>
  <c r="C54" i="2"/>
  <c r="B54" i="2"/>
  <c r="R53" i="2"/>
  <c r="N53" i="2"/>
  <c r="L53" i="2"/>
  <c r="K53" i="2"/>
  <c r="F53" i="2"/>
  <c r="E53" i="2"/>
  <c r="C53" i="2"/>
  <c r="B53" i="2"/>
  <c r="N52" i="2"/>
  <c r="L52" i="2"/>
  <c r="K52" i="2"/>
  <c r="O52" i="2" s="1"/>
  <c r="F52" i="2"/>
  <c r="E52" i="2"/>
  <c r="C52" i="2"/>
  <c r="B52" i="2"/>
  <c r="N51" i="2"/>
  <c r="L51" i="2"/>
  <c r="K51" i="2"/>
  <c r="F51" i="2"/>
  <c r="E51" i="2"/>
  <c r="C51" i="2"/>
  <c r="B51" i="2"/>
  <c r="N50" i="2"/>
  <c r="L50" i="2"/>
  <c r="K50" i="2"/>
  <c r="O50" i="2" s="1"/>
  <c r="F50" i="2"/>
  <c r="E50" i="2"/>
  <c r="C50" i="2"/>
  <c r="B50" i="2"/>
  <c r="N49" i="2"/>
  <c r="L49" i="2"/>
  <c r="K49" i="2"/>
  <c r="F49" i="2"/>
  <c r="E49" i="2"/>
  <c r="C49" i="2"/>
  <c r="B49" i="2"/>
  <c r="N48" i="2"/>
  <c r="L48" i="2"/>
  <c r="K48" i="2"/>
  <c r="O48" i="2" s="1"/>
  <c r="F48" i="2"/>
  <c r="E48" i="2"/>
  <c r="C48" i="2"/>
  <c r="B48" i="2"/>
  <c r="R47" i="2"/>
  <c r="N47" i="2"/>
  <c r="L47" i="2"/>
  <c r="K47" i="2"/>
  <c r="F47" i="2"/>
  <c r="E47" i="2"/>
  <c r="C47" i="2"/>
  <c r="B47" i="2"/>
  <c r="O46" i="2"/>
  <c r="N46" i="2"/>
  <c r="M46" i="2"/>
  <c r="R46" i="2" s="1"/>
  <c r="L46" i="2"/>
  <c r="K46" i="2"/>
  <c r="F46" i="2"/>
  <c r="E46" i="2"/>
  <c r="C46" i="2"/>
  <c r="B46" i="2"/>
  <c r="N45" i="2"/>
  <c r="L45" i="2"/>
  <c r="K45" i="2"/>
  <c r="F45" i="2"/>
  <c r="E45" i="2"/>
  <c r="C45" i="2"/>
  <c r="B45" i="2"/>
  <c r="R44" i="2"/>
  <c r="N44" i="2"/>
  <c r="M44" i="2"/>
  <c r="L44" i="2"/>
  <c r="K44" i="2"/>
  <c r="O44" i="2" s="1"/>
  <c r="F44" i="2"/>
  <c r="E44" i="2"/>
  <c r="C44" i="2"/>
  <c r="B44" i="2"/>
  <c r="N43" i="2"/>
  <c r="L43" i="2"/>
  <c r="K43" i="2"/>
  <c r="F43" i="2"/>
  <c r="E43" i="2"/>
  <c r="C43" i="2"/>
  <c r="B43" i="2"/>
  <c r="N42" i="2"/>
  <c r="O42" i="2" s="1"/>
  <c r="L42" i="2"/>
  <c r="K42" i="2"/>
  <c r="M42" i="2" s="1"/>
  <c r="R42" i="2" s="1"/>
  <c r="F42" i="2"/>
  <c r="E42" i="2"/>
  <c r="C42" i="2"/>
  <c r="B42" i="2"/>
  <c r="N41" i="2"/>
  <c r="L41" i="2"/>
  <c r="K41" i="2"/>
  <c r="F41" i="2"/>
  <c r="E41" i="2"/>
  <c r="C41" i="2"/>
  <c r="B41" i="2"/>
  <c r="N40" i="2"/>
  <c r="O40" i="2" s="1"/>
  <c r="L40" i="2"/>
  <c r="M40" i="2" s="1"/>
  <c r="R40" i="2" s="1"/>
  <c r="K40" i="2"/>
  <c r="F40" i="2"/>
  <c r="E40" i="2"/>
  <c r="C40" i="2"/>
  <c r="B40" i="2"/>
  <c r="N39" i="2"/>
  <c r="L39" i="2"/>
  <c r="K39" i="2"/>
  <c r="D35" i="1" s="1"/>
  <c r="F39" i="2"/>
  <c r="E39" i="2"/>
  <c r="C39" i="2"/>
  <c r="B39" i="2"/>
  <c r="N38" i="2"/>
  <c r="L38" i="2"/>
  <c r="K38" i="2"/>
  <c r="O38" i="2" s="1"/>
  <c r="F38" i="2"/>
  <c r="E38" i="2"/>
  <c r="C38" i="2"/>
  <c r="B38" i="2"/>
  <c r="N37" i="2"/>
  <c r="L37" i="2"/>
  <c r="K37" i="2"/>
  <c r="F37" i="2"/>
  <c r="E37" i="2"/>
  <c r="C37" i="2"/>
  <c r="B37" i="2"/>
  <c r="N36" i="2"/>
  <c r="L36" i="2"/>
  <c r="C23" i="1" s="1"/>
  <c r="K36" i="2"/>
  <c r="D23" i="1" s="1"/>
  <c r="E23" i="1" s="1"/>
  <c r="I23" i="1" s="1"/>
  <c r="F36" i="2"/>
  <c r="E36" i="2"/>
  <c r="C36" i="2"/>
  <c r="B36" i="2"/>
  <c r="R35" i="2"/>
  <c r="N35" i="2"/>
  <c r="L35" i="2"/>
  <c r="K35" i="2"/>
  <c r="F35" i="2"/>
  <c r="E35" i="2"/>
  <c r="C35" i="2"/>
  <c r="B35" i="2"/>
  <c r="N34" i="2"/>
  <c r="L34" i="2"/>
  <c r="K34" i="2"/>
  <c r="M34" i="2" s="1"/>
  <c r="R34" i="2" s="1"/>
  <c r="F34" i="2"/>
  <c r="E34" i="2"/>
  <c r="C34" i="2"/>
  <c r="B34" i="2"/>
  <c r="N33" i="2"/>
  <c r="L33" i="2"/>
  <c r="K33" i="2"/>
  <c r="F33" i="2"/>
  <c r="E33" i="2"/>
  <c r="C33" i="2"/>
  <c r="B33" i="2"/>
  <c r="N32" i="2"/>
  <c r="L32" i="2"/>
  <c r="K32" i="2"/>
  <c r="O32" i="2" s="1"/>
  <c r="F32" i="2"/>
  <c r="E32" i="2"/>
  <c r="C32" i="2"/>
  <c r="B32" i="2"/>
  <c r="N31" i="2"/>
  <c r="L31" i="2"/>
  <c r="K31" i="2"/>
  <c r="F31" i="2"/>
  <c r="E31" i="2"/>
  <c r="C31" i="2"/>
  <c r="B31" i="2"/>
  <c r="N30" i="2"/>
  <c r="L30" i="2"/>
  <c r="K30" i="2"/>
  <c r="O30" i="2" s="1"/>
  <c r="F30" i="2"/>
  <c r="E30" i="2"/>
  <c r="C30" i="2"/>
  <c r="B30" i="2"/>
  <c r="N29" i="2"/>
  <c r="L29" i="2"/>
  <c r="K29" i="2"/>
  <c r="F29" i="2"/>
  <c r="E29" i="2"/>
  <c r="C29" i="2"/>
  <c r="B29" i="2"/>
  <c r="N28" i="2"/>
  <c r="L28" i="2"/>
  <c r="K28" i="2"/>
  <c r="O28" i="2" s="1"/>
  <c r="F28" i="2"/>
  <c r="E28" i="2"/>
  <c r="C28" i="2"/>
  <c r="B28" i="2"/>
  <c r="N27" i="2"/>
  <c r="L27" i="2"/>
  <c r="K27" i="2"/>
  <c r="D32" i="1" s="1"/>
  <c r="F27" i="2"/>
  <c r="E27" i="2"/>
  <c r="C27" i="2"/>
  <c r="B27" i="2"/>
  <c r="O26" i="2"/>
  <c r="N26" i="2"/>
  <c r="M26" i="2"/>
  <c r="R26" i="2" s="1"/>
  <c r="L26" i="2"/>
  <c r="K26" i="2"/>
  <c r="F26" i="2"/>
  <c r="E26" i="2"/>
  <c r="C26" i="2"/>
  <c r="B26" i="2"/>
  <c r="N25" i="2"/>
  <c r="L25" i="2"/>
  <c r="K25" i="2"/>
  <c r="F25" i="2"/>
  <c r="E25" i="2"/>
  <c r="C25" i="2"/>
  <c r="B25" i="2"/>
  <c r="R24" i="2"/>
  <c r="N24" i="2"/>
  <c r="M24" i="2"/>
  <c r="L24" i="2"/>
  <c r="K24" i="2"/>
  <c r="O24" i="2" s="1"/>
  <c r="F24" i="2"/>
  <c r="E24" i="2"/>
  <c r="C24" i="2"/>
  <c r="B24" i="2"/>
  <c r="N23" i="2"/>
  <c r="L23" i="2"/>
  <c r="K23" i="2"/>
  <c r="F23" i="2"/>
  <c r="E23" i="2"/>
  <c r="C23" i="2"/>
  <c r="B23" i="2"/>
  <c r="N22" i="2"/>
  <c r="O22" i="2" s="1"/>
  <c r="L22" i="2"/>
  <c r="K22" i="2"/>
  <c r="M22" i="2" s="1"/>
  <c r="R22" i="2" s="1"/>
  <c r="F22" i="2"/>
  <c r="E22" i="2"/>
  <c r="C22" i="2"/>
  <c r="B22" i="2"/>
  <c r="N21" i="2"/>
  <c r="L21" i="2"/>
  <c r="K21" i="2"/>
  <c r="F21" i="2"/>
  <c r="E21" i="2"/>
  <c r="C21" i="2"/>
  <c r="B21" i="2"/>
  <c r="N20" i="2"/>
  <c r="O20" i="2" s="1"/>
  <c r="L20" i="2"/>
  <c r="M20" i="2" s="1"/>
  <c r="R20" i="2" s="1"/>
  <c r="K20" i="2"/>
  <c r="D31" i="1" s="1"/>
  <c r="F20" i="2"/>
  <c r="E20" i="2"/>
  <c r="C20" i="2"/>
  <c r="B20" i="2"/>
  <c r="N19" i="2"/>
  <c r="L19" i="2"/>
  <c r="K19" i="2"/>
  <c r="F19" i="2"/>
  <c r="E19" i="2"/>
  <c r="C19" i="2"/>
  <c r="B19" i="2"/>
  <c r="N18" i="2"/>
  <c r="L18" i="2"/>
  <c r="K18" i="2"/>
  <c r="O18" i="2" s="1"/>
  <c r="F18" i="2"/>
  <c r="E18" i="2"/>
  <c r="C18" i="2"/>
  <c r="B18" i="2"/>
  <c r="N17" i="2"/>
  <c r="L17" i="2"/>
  <c r="K17" i="2"/>
  <c r="F17" i="2"/>
  <c r="E17" i="2"/>
  <c r="C17" i="2"/>
  <c r="B17" i="2"/>
  <c r="N16" i="2"/>
  <c r="L16" i="2"/>
  <c r="K16" i="2"/>
  <c r="O16" i="2" s="1"/>
  <c r="F16" i="2"/>
  <c r="E16" i="2"/>
  <c r="C16" i="2"/>
  <c r="B16" i="2"/>
  <c r="N15" i="2"/>
  <c r="L15" i="2"/>
  <c r="K15" i="2"/>
  <c r="F15" i="2"/>
  <c r="E15" i="2"/>
  <c r="C15" i="2"/>
  <c r="B15" i="2"/>
  <c r="N14" i="2"/>
  <c r="L14" i="2"/>
  <c r="C18" i="1" s="1"/>
  <c r="K14" i="2"/>
  <c r="D30" i="1" s="1"/>
  <c r="F14" i="2"/>
  <c r="E14" i="2"/>
  <c r="C14" i="2"/>
  <c r="B14" i="2"/>
  <c r="N13" i="2"/>
  <c r="L13" i="2"/>
  <c r="K13" i="2"/>
  <c r="F13" i="2"/>
  <c r="E13" i="2"/>
  <c r="C13" i="2"/>
  <c r="B13" i="2"/>
  <c r="N12" i="2"/>
  <c r="L12" i="2"/>
  <c r="C25" i="1" s="1"/>
  <c r="K12" i="2"/>
  <c r="D25" i="1" s="1"/>
  <c r="F12" i="2"/>
  <c r="E12" i="2"/>
  <c r="C12" i="2"/>
  <c r="B12" i="2"/>
  <c r="N11" i="2"/>
  <c r="L11" i="2"/>
  <c r="C22" i="1" s="1"/>
  <c r="K11" i="2"/>
  <c r="F11" i="2"/>
  <c r="E11" i="2"/>
  <c r="C11" i="2"/>
  <c r="B11" i="2"/>
  <c r="N10" i="2"/>
  <c r="L10" i="2"/>
  <c r="C21" i="1" s="1"/>
  <c r="K10" i="2"/>
  <c r="O10" i="2" s="1"/>
  <c r="F10" i="2"/>
  <c r="E10" i="2"/>
  <c r="C10" i="2"/>
  <c r="B10" i="2"/>
  <c r="N9" i="2"/>
  <c r="L9" i="2"/>
  <c r="C19" i="1" s="1"/>
  <c r="K9" i="2"/>
  <c r="D29" i="1" s="1"/>
  <c r="F9" i="2"/>
  <c r="E9" i="2"/>
  <c r="C9" i="2"/>
  <c r="B9" i="2"/>
  <c r="N8" i="2"/>
  <c r="L8" i="2"/>
  <c r="K8" i="2"/>
  <c r="D18" i="1" s="1"/>
  <c r="E18" i="1" s="1"/>
  <c r="I18" i="1" s="1"/>
  <c r="F8" i="2"/>
  <c r="E8" i="2"/>
  <c r="C8" i="2"/>
  <c r="B8" i="2"/>
  <c r="N7" i="2"/>
  <c r="L7" i="2"/>
  <c r="C20" i="1" s="1"/>
  <c r="K7" i="2"/>
  <c r="F7" i="2"/>
  <c r="E7" i="2"/>
  <c r="C7" i="2"/>
  <c r="B7" i="2"/>
  <c r="O6" i="2"/>
  <c r="N6" i="2"/>
  <c r="M6" i="2"/>
  <c r="R6" i="2" s="1"/>
  <c r="L6" i="2"/>
  <c r="K6" i="2"/>
  <c r="F6" i="2"/>
  <c r="E6" i="2"/>
  <c r="C6" i="2"/>
  <c r="B6" i="2"/>
  <c r="E58" i="1"/>
  <c r="D58" i="1"/>
  <c r="B58" i="1"/>
  <c r="E57" i="1"/>
  <c r="D57" i="1"/>
  <c r="G57" i="1" s="1"/>
  <c r="B57" i="1"/>
  <c r="E56" i="1"/>
  <c r="B56" i="1"/>
  <c r="E55" i="1"/>
  <c r="D55" i="1"/>
  <c r="G55" i="1" s="1"/>
  <c r="B55" i="1"/>
  <c r="E54" i="1"/>
  <c r="B54" i="1"/>
  <c r="E53" i="1"/>
  <c r="B53" i="1"/>
  <c r="E52" i="1"/>
  <c r="B52" i="1"/>
  <c r="E51" i="1"/>
  <c r="B51" i="1"/>
  <c r="E50" i="1"/>
  <c r="D50" i="1"/>
  <c r="F50" i="1" s="1"/>
  <c r="B50" i="1"/>
  <c r="E49" i="1"/>
  <c r="B49" i="1"/>
  <c r="E48" i="1"/>
  <c r="B48" i="1"/>
  <c r="E47" i="1"/>
  <c r="B47" i="1"/>
  <c r="E46" i="1"/>
  <c r="B46" i="1"/>
  <c r="E45" i="1"/>
  <c r="B45" i="1"/>
  <c r="E44" i="1"/>
  <c r="B44" i="1"/>
  <c r="E43" i="1"/>
  <c r="B43" i="1"/>
  <c r="E42" i="1"/>
  <c r="B42" i="1"/>
  <c r="E41" i="1"/>
  <c r="D41" i="1"/>
  <c r="F41" i="1" s="1"/>
  <c r="B41" i="1"/>
  <c r="E40" i="1"/>
  <c r="B40" i="1"/>
  <c r="E39" i="1"/>
  <c r="B39" i="1"/>
  <c r="E38" i="1"/>
  <c r="B38" i="1"/>
  <c r="E37" i="1"/>
  <c r="D37" i="1"/>
  <c r="F37" i="1" s="1"/>
  <c r="B37" i="1"/>
  <c r="E36" i="1"/>
  <c r="B36" i="1"/>
  <c r="E35" i="1"/>
  <c r="B35" i="1"/>
  <c r="E34" i="1"/>
  <c r="B34" i="1"/>
  <c r="E33" i="1"/>
  <c r="D33" i="1"/>
  <c r="F33" i="1" s="1"/>
  <c r="B33" i="1"/>
  <c r="E32" i="1"/>
  <c r="B32" i="1"/>
  <c r="E31" i="1"/>
  <c r="B31" i="1"/>
  <c r="E30" i="1"/>
  <c r="B30" i="1"/>
  <c r="E29" i="1"/>
  <c r="B29" i="1"/>
  <c r="E28" i="1"/>
  <c r="B28" i="1"/>
  <c r="G25" i="1"/>
  <c r="F25" i="1"/>
  <c r="B25" i="1"/>
  <c r="G24" i="1"/>
  <c r="F24" i="1"/>
  <c r="B24" i="1"/>
  <c r="G23" i="1"/>
  <c r="F23" i="1"/>
  <c r="B23" i="1"/>
  <c r="G22" i="1"/>
  <c r="F22" i="1"/>
  <c r="B22" i="1"/>
  <c r="G21" i="1"/>
  <c r="F21" i="1"/>
  <c r="D21" i="1"/>
  <c r="B21" i="1"/>
  <c r="G20" i="1"/>
  <c r="F20" i="1"/>
  <c r="B20" i="1"/>
  <c r="G19" i="1"/>
  <c r="F19" i="1"/>
  <c r="B19" i="1"/>
  <c r="G18" i="1"/>
  <c r="F18" i="1"/>
  <c r="B18" i="1"/>
  <c r="D11" i="1"/>
  <c r="F5" i="1"/>
  <c r="D5" i="1"/>
  <c r="F58" i="1" l="1"/>
  <c r="B66" i="1"/>
  <c r="F29" i="1"/>
  <c r="G29" i="1"/>
  <c r="G43" i="1"/>
  <c r="F43" i="1"/>
  <c r="E25" i="1"/>
  <c r="I25" i="1" s="1"/>
  <c r="F44" i="1"/>
  <c r="G44" i="1"/>
  <c r="E24" i="1"/>
  <c r="I24" i="1" s="1"/>
  <c r="F53" i="1"/>
  <c r="G53" i="1"/>
  <c r="F32" i="1"/>
  <c r="G32" i="1"/>
  <c r="G30" i="1"/>
  <c r="F30" i="1"/>
  <c r="G48" i="1"/>
  <c r="F48" i="1"/>
  <c r="G45" i="1"/>
  <c r="F45" i="1"/>
  <c r="E21" i="1"/>
  <c r="I21" i="1" s="1"/>
  <c r="G51" i="1"/>
  <c r="F51" i="1"/>
  <c r="F49" i="1"/>
  <c r="G49" i="1"/>
  <c r="G35" i="1"/>
  <c r="F35" i="1"/>
  <c r="G31" i="1"/>
  <c r="F31" i="1"/>
  <c r="O29" i="2"/>
  <c r="M29" i="2"/>
  <c r="R29" i="2" s="1"/>
  <c r="O7" i="2"/>
  <c r="M7" i="2"/>
  <c r="R7" i="2" s="1"/>
  <c r="H8" i="1" s="1"/>
  <c r="O65" i="2"/>
  <c r="M65" i="2"/>
  <c r="R65" i="2" s="1"/>
  <c r="M136" i="2"/>
  <c r="R136" i="2" s="1"/>
  <c r="O23" i="2"/>
  <c r="M23" i="2"/>
  <c r="R23" i="2" s="1"/>
  <c r="O63" i="2"/>
  <c r="M63" i="2"/>
  <c r="R63" i="2" s="1"/>
  <c r="M12" i="2"/>
  <c r="R12" i="2" s="1"/>
  <c r="O14" i="2"/>
  <c r="O21" i="2"/>
  <c r="M21" i="2"/>
  <c r="R21" i="2" s="1"/>
  <c r="M32" i="2"/>
  <c r="R32" i="2" s="1"/>
  <c r="O34" i="2"/>
  <c r="O41" i="2"/>
  <c r="M41" i="2"/>
  <c r="R41" i="2" s="1"/>
  <c r="M52" i="2"/>
  <c r="R52" i="2" s="1"/>
  <c r="O54" i="2"/>
  <c r="O61" i="2"/>
  <c r="M61" i="2"/>
  <c r="R61" i="2" s="1"/>
  <c r="M72" i="2"/>
  <c r="R72" i="2" s="1"/>
  <c r="O74" i="2"/>
  <c r="O81" i="2"/>
  <c r="M81" i="2"/>
  <c r="R81" i="2" s="1"/>
  <c r="M92" i="2"/>
  <c r="R92" i="2" s="1"/>
  <c r="O94" i="2"/>
  <c r="O101" i="2"/>
  <c r="M101" i="2"/>
  <c r="R101" i="2" s="1"/>
  <c r="M112" i="2"/>
  <c r="R112" i="2" s="1"/>
  <c r="O114" i="2"/>
  <c r="O121" i="2"/>
  <c r="M121" i="2"/>
  <c r="M132" i="2"/>
  <c r="R132" i="2" s="1"/>
  <c r="O134" i="2"/>
  <c r="O141" i="2"/>
  <c r="M141" i="2"/>
  <c r="R141" i="2" s="1"/>
  <c r="M152" i="2"/>
  <c r="R152" i="2" s="1"/>
  <c r="O154" i="2"/>
  <c r="O149" i="2"/>
  <c r="M149" i="2"/>
  <c r="R149" i="2" s="1"/>
  <c r="D54" i="1"/>
  <c r="G41" i="1"/>
  <c r="M18" i="2"/>
  <c r="R18" i="2" s="1"/>
  <c r="M38" i="2"/>
  <c r="R38" i="2" s="1"/>
  <c r="M58" i="2"/>
  <c r="R58" i="2" s="1"/>
  <c r="M98" i="2"/>
  <c r="R98" i="2" s="1"/>
  <c r="M118" i="2"/>
  <c r="R118" i="2" s="1"/>
  <c r="O127" i="2"/>
  <c r="M127" i="2"/>
  <c r="R127" i="2" s="1"/>
  <c r="O45" i="2"/>
  <c r="M45" i="2"/>
  <c r="R45" i="2" s="1"/>
  <c r="M56" i="2"/>
  <c r="R56" i="2" s="1"/>
  <c r="O78" i="2"/>
  <c r="O118" i="2"/>
  <c r="O145" i="2"/>
  <c r="M145" i="2"/>
  <c r="R145" i="2" s="1"/>
  <c r="M14" i="2"/>
  <c r="R14" i="2" s="1"/>
  <c r="O123" i="2"/>
  <c r="M123" i="2"/>
  <c r="R123" i="2" s="1"/>
  <c r="O156" i="2"/>
  <c r="D56" i="1"/>
  <c r="O12" i="2"/>
  <c r="M30" i="2"/>
  <c r="R30" i="2" s="1"/>
  <c r="M50" i="2"/>
  <c r="R50" i="2" s="1"/>
  <c r="O79" i="2"/>
  <c r="M79" i="2"/>
  <c r="R79" i="2" s="1"/>
  <c r="O139" i="2"/>
  <c r="M139" i="2"/>
  <c r="R139" i="2" s="1"/>
  <c r="D20" i="1"/>
  <c r="E20" i="1" s="1"/>
  <c r="I20" i="1" s="1"/>
  <c r="O129" i="2"/>
  <c r="M129" i="2"/>
  <c r="R129" i="2" s="1"/>
  <c r="O47" i="2"/>
  <c r="M47" i="2"/>
  <c r="H5" i="1"/>
  <c r="G33" i="1"/>
  <c r="O25" i="2"/>
  <c r="M25" i="2"/>
  <c r="R25" i="2" s="1"/>
  <c r="M36" i="2"/>
  <c r="R36" i="2" s="1"/>
  <c r="M76" i="2"/>
  <c r="R76" i="2" s="1"/>
  <c r="M96" i="2"/>
  <c r="R96" i="2" s="1"/>
  <c r="M116" i="2"/>
  <c r="R116" i="2" s="1"/>
  <c r="O125" i="2"/>
  <c r="M125" i="2"/>
  <c r="R125" i="2" s="1"/>
  <c r="D38" i="1"/>
  <c r="O36" i="2"/>
  <c r="H23" i="1" s="1"/>
  <c r="D22" i="1"/>
  <c r="E22" i="1" s="1"/>
  <c r="I22" i="1" s="1"/>
  <c r="M10" i="2"/>
  <c r="R10" i="2" s="1"/>
  <c r="O119" i="2"/>
  <c r="M119" i="2"/>
  <c r="R119" i="2" s="1"/>
  <c r="D52" i="1"/>
  <c r="M8" i="2"/>
  <c r="R8" i="2" s="1"/>
  <c r="O17" i="2"/>
  <c r="M17" i="2"/>
  <c r="R17" i="2" s="1"/>
  <c r="M28" i="2"/>
  <c r="R28" i="2" s="1"/>
  <c r="O37" i="2"/>
  <c r="M37" i="2"/>
  <c r="R37" i="2" s="1"/>
  <c r="M48" i="2"/>
  <c r="R48" i="2" s="1"/>
  <c r="O57" i="2"/>
  <c r="M57" i="2"/>
  <c r="R57" i="2" s="1"/>
  <c r="M68" i="2"/>
  <c r="R68" i="2" s="1"/>
  <c r="O77" i="2"/>
  <c r="M77" i="2"/>
  <c r="R77" i="2" s="1"/>
  <c r="M88" i="2"/>
  <c r="R88" i="2" s="1"/>
  <c r="O97" i="2"/>
  <c r="M97" i="2"/>
  <c r="R97" i="2" s="1"/>
  <c r="M108" i="2"/>
  <c r="R108" i="2" s="1"/>
  <c r="O110" i="2"/>
  <c r="O117" i="2"/>
  <c r="M117" i="2"/>
  <c r="R117" i="2" s="1"/>
  <c r="M128" i="2"/>
  <c r="R128" i="2" s="1"/>
  <c r="O137" i="2"/>
  <c r="M137" i="2"/>
  <c r="R137" i="2" s="1"/>
  <c r="M148" i="2"/>
  <c r="R148" i="2" s="1"/>
  <c r="O157" i="2"/>
  <c r="M157" i="2"/>
  <c r="R157" i="2" s="1"/>
  <c r="O9" i="2"/>
  <c r="M9" i="2"/>
  <c r="R9" i="2" s="1"/>
  <c r="O67" i="2"/>
  <c r="M67" i="2"/>
  <c r="R67" i="2" s="1"/>
  <c r="O87" i="2"/>
  <c r="M87" i="2"/>
  <c r="R87" i="2" s="1"/>
  <c r="M138" i="2"/>
  <c r="R138" i="2" s="1"/>
  <c r="G37" i="1"/>
  <c r="G58" i="1"/>
  <c r="M16" i="2"/>
  <c r="R16" i="2" s="1"/>
  <c r="B68" i="1"/>
  <c r="F55" i="1"/>
  <c r="O19" i="2"/>
  <c r="M19" i="2"/>
  <c r="R19" i="2" s="1"/>
  <c r="O39" i="2"/>
  <c r="M39" i="2"/>
  <c r="R39" i="2" s="1"/>
  <c r="O92" i="2"/>
  <c r="O99" i="2"/>
  <c r="M99" i="2"/>
  <c r="R99" i="2" s="1"/>
  <c r="O132" i="2"/>
  <c r="O49" i="2"/>
  <c r="M49" i="2"/>
  <c r="R49" i="2" s="1"/>
  <c r="D19" i="1"/>
  <c r="E19" i="1" s="1"/>
  <c r="I19" i="1" s="1"/>
  <c r="O105" i="2"/>
  <c r="M105" i="2"/>
  <c r="R105" i="2" s="1"/>
  <c r="G50" i="1"/>
  <c r="O43" i="2"/>
  <c r="M43" i="2"/>
  <c r="R43" i="2" s="1"/>
  <c r="O83" i="2"/>
  <c r="M83" i="2"/>
  <c r="B67" i="1"/>
  <c r="B65" i="1"/>
  <c r="D40" i="1"/>
  <c r="O8" i="2"/>
  <c r="O15" i="2"/>
  <c r="M15" i="2"/>
  <c r="R15" i="2" s="1"/>
  <c r="O35" i="2"/>
  <c r="M35" i="2"/>
  <c r="O55" i="2"/>
  <c r="M55" i="2"/>
  <c r="R55" i="2" s="1"/>
  <c r="O75" i="2"/>
  <c r="M75" i="2"/>
  <c r="R75" i="2" s="1"/>
  <c r="O95" i="2"/>
  <c r="M95" i="2"/>
  <c r="R95" i="2" s="1"/>
  <c r="O115" i="2"/>
  <c r="M115" i="2"/>
  <c r="R115" i="2" s="1"/>
  <c r="O135" i="2"/>
  <c r="M135" i="2"/>
  <c r="R135" i="2" s="1"/>
  <c r="O155" i="2"/>
  <c r="M155" i="2"/>
  <c r="R155" i="2" s="1"/>
  <c r="O69" i="2"/>
  <c r="M69" i="2"/>
  <c r="R69" i="2" s="1"/>
  <c r="O109" i="2"/>
  <c r="M109" i="2"/>
  <c r="R109" i="2" s="1"/>
  <c r="O147" i="2"/>
  <c r="M147" i="2"/>
  <c r="R147" i="2" s="1"/>
  <c r="D42" i="1"/>
  <c r="D34" i="1"/>
  <c r="O103" i="2"/>
  <c r="M103" i="2"/>
  <c r="R103" i="2" s="1"/>
  <c r="O13" i="2"/>
  <c r="M13" i="2"/>
  <c r="R13" i="2" s="1"/>
  <c r="O33" i="2"/>
  <c r="H21" i="1" s="1"/>
  <c r="M33" i="2"/>
  <c r="R33" i="2" s="1"/>
  <c r="O53" i="2"/>
  <c r="M53" i="2"/>
  <c r="O73" i="2"/>
  <c r="M73" i="2"/>
  <c r="R73" i="2" s="1"/>
  <c r="O93" i="2"/>
  <c r="M93" i="2"/>
  <c r="R93" i="2" s="1"/>
  <c r="O113" i="2"/>
  <c r="M113" i="2"/>
  <c r="R113" i="2" s="1"/>
  <c r="O133" i="2"/>
  <c r="M133" i="2"/>
  <c r="R133" i="2" s="1"/>
  <c r="O153" i="2"/>
  <c r="M153" i="2"/>
  <c r="R153" i="2" s="1"/>
  <c r="O89" i="2"/>
  <c r="M89" i="2"/>
  <c r="R89" i="2" s="1"/>
  <c r="O107" i="2"/>
  <c r="M107" i="2"/>
  <c r="R107" i="2" s="1"/>
  <c r="D8" i="1"/>
  <c r="B63" i="1"/>
  <c r="O143" i="2"/>
  <c r="M143" i="2"/>
  <c r="R143" i="2" s="1"/>
  <c r="D47" i="1"/>
  <c r="O59" i="2"/>
  <c r="M59" i="2"/>
  <c r="R59" i="2" s="1"/>
  <c r="F57" i="1"/>
  <c r="O27" i="2"/>
  <c r="M27" i="2"/>
  <c r="R27" i="2" s="1"/>
  <c r="M78" i="2"/>
  <c r="R78" i="2" s="1"/>
  <c r="D46" i="1"/>
  <c r="O85" i="2"/>
  <c r="M85" i="2"/>
  <c r="R85" i="2" s="1"/>
  <c r="B64" i="1"/>
  <c r="D39" i="1"/>
  <c r="D36" i="1"/>
  <c r="D28" i="1"/>
  <c r="O11" i="2"/>
  <c r="M11" i="2"/>
  <c r="R11" i="2" s="1"/>
  <c r="O31" i="2"/>
  <c r="M31" i="2"/>
  <c r="R31" i="2" s="1"/>
  <c r="O51" i="2"/>
  <c r="M51" i="2"/>
  <c r="R51" i="2" s="1"/>
  <c r="O71" i="2"/>
  <c r="M71" i="2"/>
  <c r="R71" i="2" s="1"/>
  <c r="O91" i="2"/>
  <c r="M91" i="2"/>
  <c r="R91" i="2" s="1"/>
  <c r="O111" i="2"/>
  <c r="M111" i="2"/>
  <c r="R111" i="2" s="1"/>
  <c r="O131" i="2"/>
  <c r="M131" i="2"/>
  <c r="R131" i="2" s="1"/>
  <c r="O151" i="2"/>
  <c r="M151" i="2"/>
  <c r="R151" i="2" s="1"/>
  <c r="G56" i="1" l="1"/>
  <c r="F56" i="1"/>
  <c r="F54" i="1"/>
  <c r="G54" i="1"/>
  <c r="G28" i="1"/>
  <c r="F28" i="1"/>
  <c r="G34" i="1"/>
  <c r="F34" i="1"/>
  <c r="G36" i="1"/>
  <c r="F36" i="1"/>
  <c r="F42" i="1"/>
  <c r="G42" i="1"/>
  <c r="H25" i="1"/>
  <c r="H19" i="1"/>
  <c r="F8" i="1"/>
  <c r="G39" i="1"/>
  <c r="F39" i="1"/>
  <c r="G40" i="1"/>
  <c r="F40" i="1"/>
  <c r="G38" i="1"/>
  <c r="F38" i="1"/>
  <c r="H20" i="1"/>
  <c r="F11" i="1"/>
  <c r="H11" i="1" s="1"/>
  <c r="G52" i="1"/>
  <c r="F52" i="1"/>
  <c r="F46" i="1"/>
  <c r="G46" i="1"/>
  <c r="G47" i="1"/>
  <c r="F47" i="1"/>
  <c r="H24" i="1"/>
  <c r="H22" i="1"/>
  <c r="H18" i="1"/>
  <c r="D14" i="1" l="1"/>
  <c r="H14" i="1" s="1"/>
  <c r="F14" i="1"/>
</calcChain>
</file>

<file path=xl/sharedStrings.xml><?xml version="1.0" encoding="utf-8"?>
<sst xmlns="http://schemas.openxmlformats.org/spreadsheetml/2006/main" count="758" uniqueCount="174">
  <si>
    <t>Listen</t>
  </si>
  <si>
    <t>Editierbare Listen für Dropdown-Felder.</t>
  </si>
  <si>
    <t>Schichtarten</t>
  </si>
  <si>
    <t>Frühschicht</t>
  </si>
  <si>
    <t>Spätschicht</t>
  </si>
  <si>
    <t>Nachtschicht</t>
  </si>
  <si>
    <t>Büro</t>
  </si>
  <si>
    <t>Teilzeit</t>
  </si>
  <si>
    <t>Frei</t>
  </si>
  <si>
    <t>Bereitschaft</t>
  </si>
  <si>
    <t>Sonderdienst</t>
  </si>
  <si>
    <t>Rollen</t>
  </si>
  <si>
    <t>Teamleitung</t>
  </si>
  <si>
    <t>Mitarbeiter</t>
  </si>
  <si>
    <t>Aushilfe</t>
  </si>
  <si>
    <t>Verwaltung</t>
  </si>
  <si>
    <t>Schichtleitung</t>
  </si>
  <si>
    <t>Freelancer</t>
  </si>
  <si>
    <t>Bereiche</t>
  </si>
  <si>
    <t>Verkauf</t>
  </si>
  <si>
    <t>Service</t>
  </si>
  <si>
    <t>Lager</t>
  </si>
  <si>
    <t>Pflege</t>
  </si>
  <si>
    <t>Produktion</t>
  </si>
  <si>
    <t>Küche</t>
  </si>
  <si>
    <t>Reinigung</t>
  </si>
  <si>
    <t>Beschäftigungsarten</t>
  </si>
  <si>
    <t>Vollzeit</t>
  </si>
  <si>
    <t>Minijob</t>
  </si>
  <si>
    <t>Werkstudent</t>
  </si>
  <si>
    <t>Abwesenheitsarten</t>
  </si>
  <si>
    <t>Urlaub</t>
  </si>
  <si>
    <t>Krankheit</t>
  </si>
  <si>
    <t>Feiertag</t>
  </si>
  <si>
    <t>Fortbildung</t>
  </si>
  <si>
    <t>Sonstiges</t>
  </si>
  <si>
    <t>Status</t>
  </si>
  <si>
    <t>Offen</t>
  </si>
  <si>
    <t>Bestätigt</t>
  </si>
  <si>
    <t>Geändert</t>
  </si>
  <si>
    <t>Abgesagt</t>
  </si>
  <si>
    <t>JaNein</t>
  </si>
  <si>
    <t>Ja</t>
  </si>
  <si>
    <t>Nein</t>
  </si>
  <si>
    <t>Genehmigung</t>
  </si>
  <si>
    <t>Monate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</si>
  <si>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</si>
  <si>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</si>
  <si>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</si>
  <si>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</si>
  <si>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</si>
  <si>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</si>
  <si>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</si>
  <si>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</si>
  <si>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</si>
  <si>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</si>
  <si>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</si>
  <si>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</si>
  <si>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Währungen</t>
  </si>
  <si>
    <t>EUR</t>
  </si>
  <si>
    <t>CHF</t>
  </si>
  <si>
    <t>USD</t>
  </si>
  <si>
    <t>Verantwortliche</t>
  </si>
  <si>
    <t>Geschäftsführung</t>
  </si>
  <si>
    <t>Personalabteilung</t>
  </si>
  <si>
    <t>Mitarbeiterdaten</t>
  </si>
  <si>
    <t>Stammdaten für die Planung. Diese Werte steuern Rollen, Soll-Stunden und Stundenlöhne im Arbeitsplan.</t>
  </si>
  <si>
    <t>Aktiv</t>
  </si>
  <si>
    <t>Mitarbeiter-ID</t>
  </si>
  <si>
    <t>Rolle</t>
  </si>
  <si>
    <t>Bereich</t>
  </si>
  <si>
    <t>Beschäftigungsart</t>
  </si>
  <si>
    <t>Soll-Stunden pro Woche</t>
  </si>
  <si>
    <t>Soll-Stunden pro Tag</t>
  </si>
  <si>
    <t>Stundenlohn</t>
  </si>
  <si>
    <t>Eintrittsdatum</t>
  </si>
  <si>
    <t>E-Mail</t>
  </si>
  <si>
    <t>Telefon</t>
  </si>
  <si>
    <t>Notizen</t>
  </si>
  <si>
    <t>M001</t>
  </si>
  <si>
    <t>Anna Keller</t>
  </si>
  <si>
    <t>anna.keller@example.de</t>
  </si>
  <si>
    <t>+49 441 100001</t>
  </si>
  <si>
    <t>Teamleitung Verkauf</t>
  </si>
  <si>
    <t>M002</t>
  </si>
  <si>
    <t>Ben Schneider</t>
  </si>
  <si>
    <t>ben.schneider@example.de</t>
  </si>
  <si>
    <t>+49 441 100002</t>
  </si>
  <si>
    <t>M003</t>
  </si>
  <si>
    <t>Clara Hoffmann</t>
  </si>
  <si>
    <t>clara.hoffmann@example.de</t>
  </si>
  <si>
    <t>+49 441 100003</t>
  </si>
  <si>
    <t>Teilzeit vormittags</t>
  </si>
  <si>
    <t>M004</t>
  </si>
  <si>
    <t>David Braun</t>
  </si>
  <si>
    <t>david.braun@example.de</t>
  </si>
  <si>
    <t>+49 441 100004</t>
  </si>
  <si>
    <t>M005</t>
  </si>
  <si>
    <t>Emma Fischer</t>
  </si>
  <si>
    <t>emma.fischer@example.de</t>
  </si>
  <si>
    <t>+49 441 100005</t>
  </si>
  <si>
    <t>Bürozeiten</t>
  </si>
  <si>
    <t>M006</t>
  </si>
  <si>
    <t>Felix Wagner</t>
  </si>
  <si>
    <t>felix.wagner@example.de</t>
  </si>
  <si>
    <t>+49 441 100006</t>
  </si>
  <si>
    <t>Wochenende möglich</t>
  </si>
  <si>
    <t>M007</t>
  </si>
  <si>
    <t>Hannah Weber</t>
  </si>
  <si>
    <t>hannah.weber@example.de</t>
  </si>
  <si>
    <t>+49 441 100007</t>
  </si>
  <si>
    <t>M008</t>
  </si>
  <si>
    <t>Jonas Meyer</t>
  </si>
  <si>
    <t>jonas.meyer@example.de</t>
  </si>
  <si>
    <t>+49 441 100008</t>
  </si>
  <si>
    <t>Abwesenheiten</t>
  </si>
  <si>
    <t>Urlaub, Krankheit, Frei und weitere Abwesenheiten erfassen.</t>
  </si>
  <si>
    <t>Abwesenheitsart</t>
  </si>
  <si>
    <t>Startdatum</t>
  </si>
  <si>
    <t>Enddatum</t>
  </si>
  <si>
    <t>Tage</t>
  </si>
  <si>
    <t>Genehmigt</t>
  </si>
  <si>
    <t>Vertretung</t>
  </si>
  <si>
    <t>Kommentar</t>
  </si>
  <si>
    <t>Geplanter Urlaub</t>
  </si>
  <si>
    <t>Kurzfristig</t>
  </si>
  <si>
    <t>Seminar</t>
  </si>
  <si>
    <t>Freier Tag</t>
  </si>
  <si>
    <t>Arbeitsplan</t>
  </si>
  <si>
    <t>Schichten, Abwesenheiten und Arbeitszeiten erfassen. Stunden, Kosten und Hinweise werden automatisch berechnet.</t>
  </si>
  <si>
    <t>Datum</t>
  </si>
  <si>
    <t>Wochentag</t>
  </si>
  <si>
    <t>Kalenderwoche</t>
  </si>
  <si>
    <t>Schichtart</t>
  </si>
  <si>
    <t>Start</t>
  </si>
  <si>
    <t>Ende</t>
  </si>
  <si>
    <t>Pause Minuten</t>
  </si>
  <si>
    <t>Geplante Stunden</t>
  </si>
  <si>
    <t>Soll-Stunden Tag</t>
  </si>
  <si>
    <t>Differenz</t>
  </si>
  <si>
    <t>Kosten</t>
  </si>
  <si>
    <t>Abwesenheit</t>
  </si>
  <si>
    <t>Hinweis</t>
  </si>
  <si>
    <t>Arbeitsplan Excel – Übersicht</t>
  </si>
  <si>
    <t>Planungsübersicht für Personal, Stunden, Kosten und Besetzungswarnungen.</t>
  </si>
  <si>
    <t>Unternehmen</t>
  </si>
  <si>
    <t>Muster GmbH</t>
  </si>
  <si>
    <t>Abteilung / Standort</t>
  </si>
  <si>
    <t>Oldenburg</t>
  </si>
  <si>
    <t>Planungsmonat</t>
  </si>
  <si>
    <t>Planungsjahr</t>
  </si>
  <si>
    <t>Verantwortlicher</t>
  </si>
  <si>
    <t>Standard-Währung</t>
  </si>
  <si>
    <t>Wochenstart</t>
  </si>
  <si>
    <t>Montag</t>
  </si>
  <si>
    <t>Anzahl Mitarbeiter</t>
  </si>
  <si>
    <t>Aktive Mitarbeiter</t>
  </si>
  <si>
    <t>Soll-Stunden</t>
  </si>
  <si>
    <t>Differenz Stunden</t>
  </si>
  <si>
    <t>Überstunden</t>
  </si>
  <si>
    <t>Abwesenheitstage</t>
  </si>
  <si>
    <t>Personalkosten gesamt</t>
  </si>
  <si>
    <t>Kosten pro Stunde</t>
  </si>
  <si>
    <t>Tage mit Unterbesetzung</t>
  </si>
  <si>
    <t>Tage mit Überbesetzung</t>
  </si>
  <si>
    <t>Abdeckungsstatus</t>
  </si>
  <si>
    <t>Ist-Stunden</t>
  </si>
  <si>
    <t>Urlaubstage</t>
  </si>
  <si>
    <t>Krankheitstage</t>
  </si>
  <si>
    <t>Personalkosten</t>
  </si>
  <si>
    <t>Tag</t>
  </si>
  <si>
    <t>Geplante Mitarbeiter</t>
  </si>
  <si>
    <t>Mindestbesetzung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</si>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</sst>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\€"/>
    <numFmt numFmtId="165" formatCode="yyyy\-mm\-dd"/>
    <numFmt numFmtId="166" formatCode="hh:mm"/>
  </numFmts>
  <fonts count="6" x14ac:knownFonts="1">
    <font>
      <sz val="11"/>
      <color theme="1"/>
      <name val="Calibri"/>
      <family val="2"/>
      <scheme val="minor"/>
    </font>
    <font>
      <b/>
      <sz val="18"/>
      <color rgb="FF1F415A"/>
      <name val="Calibri"/>
      <family val="2"/>
      <scheme val="minor"/>
    </font>
    <font>
      <i/>
      <sz val="11"/>
      <color rgb="FF4B5563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1F2937"/>
      <name val="Calibri"/>
      <family val="2"/>
      <scheme val="minor"/>
    </font>
    <font>
      <b/>
      <sz val="14"/>
      <color rgb="FF1F415A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15A"/>
        <bgColor indexed="64"/>
      </patternFill>
    </fill>
    <fill>
      <patternFill patternType="solid">
        <fgColor rgb="FFFFF7D6"/>
        <bgColor indexed="64"/>
      </patternFill>
    </fill>
    <fill>
      <patternFill patternType="solid">
        <fgColor rgb="FF00484E"/>
        <bgColor indexed="64"/>
      </patternFill>
    </fill>
    <fill>
      <patternFill patternType="solid">
        <fgColor rgb="FFEAF2F3"/>
        <bgColor indexed="64"/>
      </patternFill>
    </fill>
    <fill>
      <patternFill patternType="solid">
        <fgColor rgb="FFF3F7F8"/>
        <bgColor indexed="64"/>
      </patternFill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 style="thin">
        <color rgb="FFD9E2E3"/>
      </left>
      <right style="thin">
        <color rgb="FFD9E2E3"/>
      </right>
      <top style="thin">
        <color rgb="FFD9E2E3"/>
      </top>
      <bottom style="thin">
        <color rgb="FFD9E2E3"/>
      </bottom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/>
    <xf numFmtId="1" fontId="5" fillId="6" borderId="1" xfId="0" applyNumberFormat="1" applyFont="1" applyFill="1" applyBorder="1" applyAlignment="1">
      <alignment horizontal="center" vertical="center"/>
    </xf>
    <xf numFmtId="2" fontId="5" fillId="6" borderId="1" xfId="0" applyNumberFormat="1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/>
    </xf>
    <xf numFmtId="2" fontId="0" fillId="7" borderId="1" xfId="0" applyNumberFormat="1" applyFill="1" applyBorder="1" applyAlignment="1">
      <alignment vertical="center"/>
    </xf>
    <xf numFmtId="164" fontId="0" fillId="7" borderId="1" xfId="0" applyNumberFormat="1" applyFill="1" applyBorder="1" applyAlignment="1">
      <alignment vertical="center"/>
    </xf>
    <xf numFmtId="165" fontId="0" fillId="7" borderId="1" xfId="0" applyNumberFormat="1" applyFill="1" applyBorder="1" applyAlignment="1">
      <alignment vertical="center"/>
    </xf>
    <xf numFmtId="1" fontId="0" fillId="7" borderId="1" xfId="0" applyNumberFormat="1" applyFill="1" applyBorder="1" applyAlignment="1">
      <alignment vertical="center"/>
    </xf>
    <xf numFmtId="0" fontId="0" fillId="0" borderId="2" xfId="0" applyBorder="1" applyAlignment="1">
      <alignment vertical="center"/>
    </xf>
    <xf numFmtId="165" fontId="0" fillId="3" borderId="1" xfId="0" applyNumberFormat="1" applyFill="1" applyBorder="1" applyAlignment="1">
      <alignment vertical="center"/>
    </xf>
    <xf numFmtId="166" fontId="0" fillId="3" borderId="1" xfId="0" applyNumberFormat="1" applyFill="1" applyBorder="1" applyAlignment="1">
      <alignment vertical="center"/>
    </xf>
    <xf numFmtId="2" fontId="0" fillId="3" borderId="1" xfId="0" applyNumberFormat="1" applyFill="1" applyBorder="1" applyAlignment="1">
      <alignment vertical="center"/>
    </xf>
    <xf numFmtId="0" fontId="0" fillId="3" borderId="1" xfId="0" applyFill="1" applyBorder="1" applyAlignment="1">
      <alignment vertical="top" wrapText="1"/>
    </xf>
    <xf numFmtId="164" fontId="0" fillId="3" borderId="1" xfId="0" applyNumberForma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0" fillId="3" borderId="1" xfId="0" applyFill="1" applyBorder="1" applyAlignment="1">
      <alignment horizontal="left" vertical="center"/>
    </xf>
  </cellXfs>
  <cellStyles count="1">
    <cellStyle name="Standard" xfId="0" builtinId="0"/>
  </cellStyles>
  <dxfs count="22">
    <dxf>
      <font>
        <b/>
        <color rgb="FF166534"/>
      </font>
      <fill>
        <patternFill>
          <bgColor rgb="FFDCFCE7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b/>
        <color rgb="FF5B21B6"/>
      </font>
      <fill>
        <patternFill>
          <bgColor rgb="FFEDE9FE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b/>
        <color rgb="FF1D4ED8"/>
      </font>
      <fill>
        <patternFill>
          <bgColor rgb="FFDBEAFE"/>
        </patternFill>
      </fill>
    </dxf>
    <dxf>
      <font>
        <b/>
        <color rgb="FF374151"/>
      </font>
      <fill>
        <patternFill>
          <bgColor rgb="FFE5E7EB"/>
        </patternFill>
      </fill>
    </dxf>
    <dxf>
      <font>
        <b/>
        <color rgb="FF166534"/>
      </font>
      <fill>
        <patternFill>
          <bgColor rgb="FFDCFCE7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b/>
        <color rgb="FF5B21B6"/>
      </font>
      <fill>
        <patternFill>
          <bgColor rgb="FFEDE9FE"/>
        </patternFill>
      </fill>
    </dxf>
    <dxf>
      <font>
        <b/>
        <color rgb="FF374151"/>
      </font>
      <fill>
        <patternFill>
          <bgColor rgb="FFE5E7EB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b/>
        <color rgb="FF1D4ED8"/>
      </font>
      <fill>
        <patternFill>
          <bgColor rgb="FFDBEAFE"/>
        </patternFill>
      </fill>
    </dxf>
    <dxf>
      <fill>
        <patternFill>
          <bgColor rgb="FFFEF3C7"/>
        </patternFill>
      </fill>
    </dxf>
    <dxf>
      <fill>
        <patternFill>
          <bgColor rgb="FFF3F7F8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166534"/>
      </font>
      <fill>
        <patternFill>
          <bgColor rgb="FFDCFCE7"/>
        </patternFill>
      </fill>
    </dxf>
    <dxf>
      <font>
        <b/>
        <color rgb="FF166534"/>
      </font>
      <fill>
        <patternFill>
          <bgColor rgb="FFDCFCE7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Geplante Stunden je Mitarbeiter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Ist-Stunden</c:v>
          </c:tx>
          <c:spPr>
            <a:solidFill>
              <a:srgbClr val="00484E"/>
            </a:solidFill>
            <a:ln>
              <a:solidFill>
                <a:srgbClr val="00484E"/>
              </a:solidFill>
            </a:ln>
          </c:spPr>
          <c:invertIfNegative val="0"/>
          <c:cat>
            <c:strRef>
              <c:f>Dashboard!$A$18:$A$25</c:f>
              <c:strCache>
                <c:ptCount val="8"/>
                <c:pt idx="0">
                  <c:v>Anna Keller</c:v>
                </c:pt>
                <c:pt idx="1">
                  <c:v>Ben Schneider</c:v>
                </c:pt>
                <c:pt idx="2">
                  <c:v>Clara Hoffmann</c:v>
                </c:pt>
                <c:pt idx="3">
                  <c:v>David Braun</c:v>
                </c:pt>
                <c:pt idx="4">
                  <c:v>Emma Fischer</c:v>
                </c:pt>
                <c:pt idx="5">
                  <c:v>Felix Wagner</c:v>
                </c:pt>
                <c:pt idx="6">
                  <c:v>Hannah Weber</c:v>
                </c:pt>
                <c:pt idx="7">
                  <c:v>Jonas Meyer</c:v>
                </c:pt>
              </c:strCache>
            </c:strRef>
          </c:cat>
          <c:val>
            <c:numRef>
              <c:f>Dashboard!$D$18:$D$25</c:f>
              <c:numCache>
                <c:formatCode>0.00</c:formatCode>
                <c:ptCount val="8"/>
                <c:pt idx="0">
                  <c:v>165</c:v>
                </c:pt>
                <c:pt idx="1">
                  <c:v>169</c:v>
                </c:pt>
                <c:pt idx="2">
                  <c:v>75</c:v>
                </c:pt>
                <c:pt idx="3">
                  <c:v>165</c:v>
                </c:pt>
                <c:pt idx="4">
                  <c:v>147</c:v>
                </c:pt>
                <c:pt idx="5">
                  <c:v>44</c:v>
                </c:pt>
                <c:pt idx="6">
                  <c:v>40</c:v>
                </c:pt>
                <c:pt idx="7">
                  <c:v>171.75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48-468A-9D93-DFF8A1A4D8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Mitarbeiter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Stunden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spPr>
    <a:solidFill>
      <a:schemeClr val="bg2">
        <a:lumMod val="9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2</xdr:row>
      <xdr:rowOff>209550</xdr:rowOff>
    </xdr:from>
    <xdr:to>
      <xdr:col>14</xdr:col>
      <xdr:colOff>504825</xdr:colOff>
      <xdr:row>14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shboardMitarbeiter" displayName="DashboardMitarbeiter" ref="A17:I25" totalsRowShown="0">
  <autoFilter ref="A17:I25" xr:uid="{00000000-0009-0000-0100-000001000000}"/>
  <tableColumns count="9">
    <tableColumn id="1" xr3:uid="{00000000-0010-0000-0000-000001000000}" name="Mitarbeiter"/>
    <tableColumn id="2" xr3:uid="{00000000-0010-0000-0000-000002000000}" name="Rolle"/>
    <tableColumn id="3" xr3:uid="{00000000-0010-0000-0000-000003000000}" name="Soll-Stunden"/>
    <tableColumn id="4" xr3:uid="{00000000-0010-0000-0000-000004000000}" name="Ist-Stunden"/>
    <tableColumn id="5" xr3:uid="{00000000-0010-0000-0000-000005000000}" name="Differenz"/>
    <tableColumn id="6" xr3:uid="{00000000-0010-0000-0000-000006000000}" name="Urlaubstage"/>
    <tableColumn id="7" xr3:uid="{00000000-0010-0000-0000-000007000000}" name="Krankheitstage"/>
    <tableColumn id="8" xr3:uid="{00000000-0010-0000-0000-000008000000}" name="Personalkosten"/>
    <tableColumn id="9" xr3:uid="{00000000-0010-0000-0000-000009000000}" name="Status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Besetzungswarnungen" displayName="Besetzungswarnungen" ref="A27:G58" totalsRowShown="0">
  <autoFilter ref="A27:G58" xr:uid="{00000000-0009-0000-0100-000002000000}"/>
  <tableColumns count="7">
    <tableColumn id="1" xr3:uid="{00000000-0010-0000-0100-000001000000}" name="Datum"/>
    <tableColumn id="2" xr3:uid="{00000000-0010-0000-0100-000002000000}" name="Tag"/>
    <tableColumn id="3" xr3:uid="{00000000-0010-0000-0100-000003000000}" name="Bereich"/>
    <tableColumn id="4" xr3:uid="{00000000-0010-0000-0100-000004000000}" name="Geplante Mitarbeiter"/>
    <tableColumn id="5" xr3:uid="{00000000-0010-0000-0100-000005000000}" name="Mindestbesetzung"/>
    <tableColumn id="6" xr3:uid="{00000000-0010-0000-0100-000006000000}" name="Differenz"/>
    <tableColumn id="7" xr3:uid="{00000000-0010-0000-0100-000007000000}" name="Status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ArbeitsplanTabelle" displayName="ArbeitsplanTabelle" ref="A5:S157" totalsRowShown="0">
  <autoFilter ref="A5:S157" xr:uid="{00000000-0009-0000-0100-000003000000}"/>
  <tableColumns count="19">
    <tableColumn id="1" xr3:uid="{00000000-0010-0000-0200-000001000000}" name="Datum"/>
    <tableColumn id="2" xr3:uid="{00000000-0010-0000-0200-000002000000}" name="Wochentag"/>
    <tableColumn id="3" xr3:uid="{00000000-0010-0000-0200-000003000000}" name="Kalenderwoche"/>
    <tableColumn id="4" xr3:uid="{00000000-0010-0000-0200-000004000000}" name="Mitarbeiter"/>
    <tableColumn id="5" xr3:uid="{00000000-0010-0000-0200-000005000000}" name="Rolle"/>
    <tableColumn id="6" xr3:uid="{00000000-0010-0000-0200-000006000000}" name="Bereich"/>
    <tableColumn id="7" xr3:uid="{00000000-0010-0000-0200-000007000000}" name="Schichtart"/>
    <tableColumn id="8" xr3:uid="{00000000-0010-0000-0200-000008000000}" name="Start"/>
    <tableColumn id="9" xr3:uid="{00000000-0010-0000-0200-000009000000}" name="Ende"/>
    <tableColumn id="10" xr3:uid="{00000000-0010-0000-0200-00000A000000}" name="Pause Minuten"/>
    <tableColumn id="11" xr3:uid="{00000000-0010-0000-0200-00000B000000}" name="Geplante Stunden"/>
    <tableColumn id="12" xr3:uid="{00000000-0010-0000-0200-00000C000000}" name="Soll-Stunden Tag"/>
    <tableColumn id="13" xr3:uid="{00000000-0010-0000-0200-00000D000000}" name="Differenz"/>
    <tableColumn id="14" xr3:uid="{00000000-0010-0000-0200-00000E000000}" name="Stundenlohn"/>
    <tableColumn id="15" xr3:uid="{00000000-0010-0000-0200-00000F000000}" name="Kosten"/>
    <tableColumn id="16" xr3:uid="{00000000-0010-0000-0200-000010000000}" name="Abwesenheit"/>
    <tableColumn id="17" xr3:uid="{00000000-0010-0000-0200-000011000000}" name="Status"/>
    <tableColumn id="18" xr3:uid="{00000000-0010-0000-0200-000012000000}" name="Hinweis"/>
    <tableColumn id="19" xr3:uid="{00000000-0010-0000-0200-000013000000}" name="Notizen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MitarbeiterTabelle" displayName="MitarbeiterTabelle" ref="A5:M13" totalsRowShown="0">
  <autoFilter ref="A5:M13" xr:uid="{00000000-0009-0000-0100-000004000000}"/>
  <tableColumns count="13">
    <tableColumn id="1" xr3:uid="{00000000-0010-0000-0300-000001000000}" name="Aktiv"/>
    <tableColumn id="2" xr3:uid="{00000000-0010-0000-0300-000002000000}" name="Mitarbeiter-ID"/>
    <tableColumn id="3" xr3:uid="{00000000-0010-0000-0300-000003000000}" name="Mitarbeiter"/>
    <tableColumn id="4" xr3:uid="{00000000-0010-0000-0300-000004000000}" name="Rolle"/>
    <tableColumn id="5" xr3:uid="{00000000-0010-0000-0300-000005000000}" name="Bereich"/>
    <tableColumn id="6" xr3:uid="{00000000-0010-0000-0300-000006000000}" name="Beschäftigungsart"/>
    <tableColumn id="7" xr3:uid="{00000000-0010-0000-0300-000007000000}" name="Soll-Stunden pro Woche"/>
    <tableColumn id="8" xr3:uid="{00000000-0010-0000-0300-000008000000}" name="Soll-Stunden pro Tag"/>
    <tableColumn id="9" xr3:uid="{00000000-0010-0000-0300-000009000000}" name="Stundenlohn"/>
    <tableColumn id="10" xr3:uid="{00000000-0010-0000-0300-00000A000000}" name="Eintrittsdatum"/>
    <tableColumn id="11" xr3:uid="{00000000-0010-0000-0300-00000B000000}" name="E-Mail"/>
    <tableColumn id="12" xr3:uid="{00000000-0010-0000-0300-00000C000000}" name="Telefon"/>
    <tableColumn id="13" xr3:uid="{00000000-0010-0000-0300-00000D000000}" name="Notizen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AbwesenheitenTabelle" displayName="AbwesenheitenTabelle" ref="A5:H9" totalsRowShown="0">
  <autoFilter ref="A5:H9" xr:uid="{00000000-0009-0000-0100-000005000000}"/>
  <tableColumns count="8">
    <tableColumn id="1" xr3:uid="{00000000-0010-0000-0400-000001000000}" name="Mitarbeiter"/>
    <tableColumn id="2" xr3:uid="{00000000-0010-0000-0400-000002000000}" name="Abwesenheitsart"/>
    <tableColumn id="3" xr3:uid="{00000000-0010-0000-0400-000003000000}" name="Startdatum"/>
    <tableColumn id="4" xr3:uid="{00000000-0010-0000-0400-000004000000}" name="Enddatum"/>
    <tableColumn id="5" xr3:uid="{00000000-0010-0000-0400-000005000000}" name="Tage"/>
    <tableColumn id="6" xr3:uid="{00000000-0010-0000-0400-000006000000}" name="Genehmigt"/>
    <tableColumn id="7" xr3:uid="{00000000-0010-0000-0400-000007000000}" name="Vertretung"/>
    <tableColumn id="8" xr3:uid="{00000000-0010-0000-0400-000008000000}" name="Kommentar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8"/>
  <sheetViews>
    <sheetView showGridLines="0" tabSelected="1" workbookViewId="0">
      <pane ySplit="16" topLeftCell="A17" activePane="bottomLeft" state="frozen"/>
      <selection pane="bottomLeft" activeCell="G11" sqref="G11"/>
    </sheetView>
  </sheetViews>
  <sheetFormatPr baseColWidth="10" defaultColWidth="9.140625" defaultRowHeight="18" customHeight="1" x14ac:dyDescent="0.25"/>
  <cols>
    <col min="1" max="1" width="19.140625" bestFit="1" customWidth="1"/>
    <col min="2" max="2" width="14.7109375" bestFit="1" customWidth="1"/>
    <col min="3" max="3" width="17" bestFit="1" customWidth="1"/>
    <col min="4" max="4" width="24.7109375" bestFit="1" customWidth="1"/>
    <col min="5" max="5" width="22.28515625" bestFit="1" customWidth="1"/>
    <col min="6" max="6" width="22.85546875" bestFit="1" customWidth="1"/>
    <col min="7" max="7" width="18.85546875" bestFit="1" customWidth="1"/>
    <col min="8" max="8" width="19.28515625" bestFit="1" customWidth="1"/>
    <col min="9" max="9" width="11" bestFit="1" customWidth="1"/>
    <col min="10" max="10" width="2.7109375" customWidth="1"/>
    <col min="11" max="18" width="13.7109375" customWidth="1"/>
  </cols>
  <sheetData>
    <row r="1" spans="1:9" ht="27.95" customHeight="1" x14ac:dyDescent="0.25">
      <c r="A1" s="21" t="s">
        <v>143</v>
      </c>
      <c r="B1" s="21"/>
      <c r="C1" s="21"/>
      <c r="D1" s="21"/>
      <c r="E1" s="21"/>
      <c r="F1" s="21"/>
      <c r="G1" s="21"/>
      <c r="H1" s="21"/>
      <c r="I1" s="21"/>
    </row>
    <row r="2" spans="1:9" ht="18" customHeight="1" x14ac:dyDescent="0.25">
      <c r="A2" s="22" t="s">
        <v>144</v>
      </c>
      <c r="B2" s="22"/>
      <c r="C2" s="22"/>
      <c r="D2" s="22"/>
    </row>
    <row r="4" spans="1:9" ht="18" customHeight="1" x14ac:dyDescent="0.25">
      <c r="A4" s="2" t="s">
        <v>145</v>
      </c>
      <c r="B4" s="23" t="s">
        <v>146</v>
      </c>
      <c r="D4" s="4" t="s">
        <v>155</v>
      </c>
      <c r="F4" s="4" t="s">
        <v>156</v>
      </c>
      <c r="H4" s="4" t="s">
        <v>137</v>
      </c>
    </row>
    <row r="5" spans="1:9" ht="18.75" x14ac:dyDescent="0.25">
      <c r="A5" s="5" t="s">
        <v>147</v>
      </c>
      <c r="B5" s="23" t="s">
        <v>148</v>
      </c>
      <c r="D5" s="6">
        <f>COUNTA(Mitarbeiter!$C$6:$C$13)</f>
        <v>8</v>
      </c>
      <c r="F5" s="6">
        <f>COUNTIF(Mitarbeiter!$A$6:$A$13,"Ja")</f>
        <v>8</v>
      </c>
      <c r="H5" s="7">
        <f>SUM(Arbeitsplan!$K$6:$K$300)</f>
        <v>976.75</v>
      </c>
    </row>
    <row r="6" spans="1:9" ht="18" customHeight="1" x14ac:dyDescent="0.25">
      <c r="A6" s="5" t="s">
        <v>149</v>
      </c>
      <c r="B6" s="23" t="s">
        <v>48</v>
      </c>
    </row>
    <row r="7" spans="1:9" ht="18" customHeight="1" x14ac:dyDescent="0.25">
      <c r="A7" s="5" t="s">
        <v>150</v>
      </c>
      <c r="B7" s="23">
        <v>2026</v>
      </c>
      <c r="D7" s="4" t="s">
        <v>157</v>
      </c>
      <c r="F7" s="4" t="s">
        <v>158</v>
      </c>
      <c r="H7" s="4" t="s">
        <v>159</v>
      </c>
    </row>
    <row r="8" spans="1:9" ht="18" customHeight="1" x14ac:dyDescent="0.25">
      <c r="A8" s="5" t="s">
        <v>151</v>
      </c>
      <c r="B8" s="23" t="s">
        <v>12</v>
      </c>
      <c r="D8" s="7">
        <f>SUM(Arbeitsplan!$L$6:$L$300)</f>
        <v>1082.2000000000003</v>
      </c>
      <c r="F8" s="7">
        <f>H5-D8</f>
        <v>-105.45000000000027</v>
      </c>
      <c r="H8" s="7">
        <f>SUMIF(Arbeitsplan!$R$6:$R$300,"Überstunden",Arbeitsplan!$M$6:$M$300)</f>
        <v>0</v>
      </c>
    </row>
    <row r="9" spans="1:9" ht="18" customHeight="1" x14ac:dyDescent="0.25">
      <c r="A9" s="5" t="s">
        <v>152</v>
      </c>
      <c r="B9" s="23" t="s">
        <v>59</v>
      </c>
    </row>
    <row r="10" spans="1:9" ht="18" customHeight="1" x14ac:dyDescent="0.25">
      <c r="A10" s="5" t="s">
        <v>153</v>
      </c>
      <c r="B10" s="23" t="s">
        <v>154</v>
      </c>
      <c r="D10" s="4" t="s">
        <v>160</v>
      </c>
      <c r="F10" s="4" t="s">
        <v>161</v>
      </c>
      <c r="H10" s="4" t="s">
        <v>162</v>
      </c>
    </row>
    <row r="11" spans="1:9" ht="18" customHeight="1" x14ac:dyDescent="0.25">
      <c r="D11" s="6">
        <f>SUM(Abwesenheiten!$E$6:$E$20)</f>
        <v>8</v>
      </c>
      <c r="F11" s="8">
        <f>SUM(Arbeitsplan!$O$6:$O$300)</f>
        <v>19786.649999999998</v>
      </c>
      <c r="H11" s="8">
        <f>IFERROR(F11/H5,0)</f>
        <v>20.257640133094444</v>
      </c>
    </row>
    <row r="13" spans="1:9" ht="18" customHeight="1" x14ac:dyDescent="0.25">
      <c r="D13" s="4" t="s">
        <v>163</v>
      </c>
      <c r="F13" s="4" t="s">
        <v>164</v>
      </c>
      <c r="H13" s="4" t="s">
        <v>165</v>
      </c>
    </row>
    <row r="14" spans="1:9" ht="18" customHeight="1" x14ac:dyDescent="0.25">
      <c r="D14" s="6">
        <f>COUNTIF($G$28:$G$58,"Unterbesetzung")</f>
        <v>1</v>
      </c>
      <c r="F14" s="6">
        <f>COUNTIF($G$28:$G$58,"Überbesetzung")</f>
        <v>16</v>
      </c>
      <c r="H14" s="6" t="str">
        <f>IF(D14=0,"OK","Prüfen")</f>
        <v>Prüfen</v>
      </c>
    </row>
    <row r="17" spans="1:9" ht="18" customHeight="1" x14ac:dyDescent="0.25">
      <c r="A17" s="9" t="s">
        <v>13</v>
      </c>
      <c r="B17" s="9" t="s">
        <v>69</v>
      </c>
      <c r="C17" s="9" t="s">
        <v>157</v>
      </c>
      <c r="D17" s="9" t="s">
        <v>166</v>
      </c>
      <c r="E17" s="9" t="s">
        <v>139</v>
      </c>
      <c r="F17" s="9" t="s">
        <v>167</v>
      </c>
      <c r="G17" s="9" t="s">
        <v>168</v>
      </c>
      <c r="H17" s="9" t="s">
        <v>169</v>
      </c>
      <c r="I17" s="9" t="s">
        <v>36</v>
      </c>
    </row>
    <row r="18" spans="1:9" ht="18" customHeight="1" x14ac:dyDescent="0.25">
      <c r="A18" s="3" t="s">
        <v>80</v>
      </c>
      <c r="B18" s="10" t="str">
        <f>IFERROR(VLOOKUP(A18,Mitarbeiter!$C$6:$I$13,2,FALSE),"")</f>
        <v>Teamleitung</v>
      </c>
      <c r="C18" s="11">
        <f>SUMIF(Arbeitsplan!$D$6:$D$300,A18,Arbeitsplan!$L$6:$L$300)</f>
        <v>176</v>
      </c>
      <c r="D18" s="11">
        <f>SUMIF(Arbeitsplan!$D$6:$D$300,A18,Arbeitsplan!$K$6:$K$300)</f>
        <v>165</v>
      </c>
      <c r="E18" s="11">
        <f t="shared" ref="E18:E25" si="0">D18-C18</f>
        <v>-11</v>
      </c>
      <c r="F18" s="11">
        <f>SUMIFS(Abwesenheiten!$E$6:$E$20,Abwesenheiten!$A$6:$A$20,A18,Abwesenheiten!$B$6:$B$20,"Urlaub")</f>
        <v>0</v>
      </c>
      <c r="G18" s="11">
        <f>SUMIFS(Abwesenheiten!$E$6:$E$20,Abwesenheiten!$A$6:$A$20,A18,Abwesenheiten!$B$6:$B$20,"Krankheit")</f>
        <v>0</v>
      </c>
      <c r="H18" s="12">
        <f>SUMIF(Arbeitsplan!$D$6:$D$300,A18,Arbeitsplan!$O$6:$O$300)</f>
        <v>4042.5</v>
      </c>
      <c r="I18" s="10" t="str">
        <f t="shared" ref="I18:I25" si="1">IF(AND(E18&gt;=-2,E18&lt;=2),"OK",IF(E18&lt;-2,"Unter Soll","Überstunden"))</f>
        <v>Unter Soll</v>
      </c>
    </row>
    <row r="19" spans="1:9" ht="18" customHeight="1" x14ac:dyDescent="0.25">
      <c r="A19" s="3" t="s">
        <v>85</v>
      </c>
      <c r="B19" s="10" t="str">
        <f>IFERROR(VLOOKUP(A19,Mitarbeiter!$C$6:$I$13,2,FALSE),"")</f>
        <v>Mitarbeiter</v>
      </c>
      <c r="C19" s="11">
        <f>SUMIF(Arbeitsplan!$D$6:$D$300,A19,Arbeitsplan!$L$6:$L$300)</f>
        <v>176</v>
      </c>
      <c r="D19" s="11">
        <f>SUMIF(Arbeitsplan!$D$6:$D$300,A19,Arbeitsplan!$K$6:$K$300)</f>
        <v>169</v>
      </c>
      <c r="E19" s="11">
        <f t="shared" si="0"/>
        <v>-7</v>
      </c>
      <c r="F19" s="11">
        <f>SUMIFS(Abwesenheiten!$E$6:$E$20,Abwesenheiten!$A$6:$A$20,A19,Abwesenheiten!$B$6:$B$20,"Urlaub")</f>
        <v>0</v>
      </c>
      <c r="G19" s="11">
        <f>SUMIFS(Abwesenheiten!$E$6:$E$20,Abwesenheiten!$A$6:$A$20,A19,Abwesenheiten!$B$6:$B$20,"Krankheit")</f>
        <v>0</v>
      </c>
      <c r="H19" s="12">
        <f>SUMIF(Arbeitsplan!$D$6:$D$300,A19,Arbeitsplan!$O$6:$O$300)</f>
        <v>3126.5</v>
      </c>
      <c r="I19" s="10" t="str">
        <f t="shared" si="1"/>
        <v>Unter Soll</v>
      </c>
    </row>
    <row r="20" spans="1:9" ht="18" customHeight="1" x14ac:dyDescent="0.25">
      <c r="A20" s="3" t="s">
        <v>89</v>
      </c>
      <c r="B20" s="10" t="str">
        <f>IFERROR(VLOOKUP(A20,Mitarbeiter!$C$6:$I$13,2,FALSE),"")</f>
        <v>Mitarbeiter</v>
      </c>
      <c r="C20" s="11">
        <f>SUMIF(Arbeitsplan!$D$6:$D$300,A20,Arbeitsplan!$L$6:$L$300)</f>
        <v>95</v>
      </c>
      <c r="D20" s="11">
        <f>SUMIF(Arbeitsplan!$D$6:$D$300,A20,Arbeitsplan!$K$6:$K$300)</f>
        <v>75</v>
      </c>
      <c r="E20" s="11">
        <f t="shared" si="0"/>
        <v>-20</v>
      </c>
      <c r="F20" s="11">
        <f>SUMIFS(Abwesenheiten!$E$6:$E$20,Abwesenheiten!$A$6:$A$20,A20,Abwesenheiten!$B$6:$B$20,"Urlaub")</f>
        <v>4</v>
      </c>
      <c r="G20" s="11">
        <f>SUMIFS(Abwesenheiten!$E$6:$E$20,Abwesenheiten!$A$6:$A$20,A20,Abwesenheiten!$B$6:$B$20,"Krankheit")</f>
        <v>0</v>
      </c>
      <c r="H20" s="12">
        <f>SUMIF(Arbeitsplan!$D$6:$D$300,A20,Arbeitsplan!$O$6:$O$300)</f>
        <v>1335</v>
      </c>
      <c r="I20" s="10" t="str">
        <f t="shared" si="1"/>
        <v>Unter Soll</v>
      </c>
    </row>
    <row r="21" spans="1:9" ht="18" customHeight="1" x14ac:dyDescent="0.25">
      <c r="A21" s="3" t="s">
        <v>94</v>
      </c>
      <c r="B21" s="10" t="str">
        <f>IFERROR(VLOOKUP(A21,Mitarbeiter!$C$6:$I$13,2,FALSE),"")</f>
        <v>Mitarbeiter</v>
      </c>
      <c r="C21" s="11">
        <f>SUMIF(Arbeitsplan!$D$6:$D$300,A21,Arbeitsplan!$L$6:$L$300)</f>
        <v>176</v>
      </c>
      <c r="D21" s="11">
        <f>SUMIF(Arbeitsplan!$D$6:$D$300,A21,Arbeitsplan!$K$6:$K$300)</f>
        <v>165</v>
      </c>
      <c r="E21" s="11">
        <f t="shared" si="0"/>
        <v>-11</v>
      </c>
      <c r="F21" s="11">
        <f>SUMIFS(Abwesenheiten!$E$6:$E$20,Abwesenheiten!$A$6:$A$20,A21,Abwesenheiten!$B$6:$B$20,"Urlaub")</f>
        <v>0</v>
      </c>
      <c r="G21" s="11">
        <f>SUMIFS(Abwesenheiten!$E$6:$E$20,Abwesenheiten!$A$6:$A$20,A21,Abwesenheiten!$B$6:$B$20,"Krankheit")</f>
        <v>0</v>
      </c>
      <c r="H21" s="12">
        <f>SUMIF(Arbeitsplan!$D$6:$D$300,A21,Arbeitsplan!$O$6:$O$300)</f>
        <v>3168</v>
      </c>
      <c r="I21" s="10" t="str">
        <f t="shared" si="1"/>
        <v>Unter Soll</v>
      </c>
    </row>
    <row r="22" spans="1:9" ht="18" customHeight="1" x14ac:dyDescent="0.25">
      <c r="A22" s="3" t="s">
        <v>98</v>
      </c>
      <c r="B22" s="10" t="str">
        <f>IFERROR(VLOOKUP(A22,Mitarbeiter!$C$6:$I$13,2,FALSE),"")</f>
        <v>Verwaltung</v>
      </c>
      <c r="C22" s="11">
        <f>SUMIF(Arbeitsplan!$D$6:$D$300,A22,Arbeitsplan!$L$6:$L$300)</f>
        <v>167.19999999999993</v>
      </c>
      <c r="D22" s="11">
        <f>SUMIF(Arbeitsplan!$D$6:$D$300,A22,Arbeitsplan!$K$6:$K$300)</f>
        <v>147</v>
      </c>
      <c r="E22" s="11">
        <f t="shared" si="0"/>
        <v>-20.199999999999932</v>
      </c>
      <c r="F22" s="11">
        <f>SUMIFS(Abwesenheiten!$E$6:$E$20,Abwesenheiten!$A$6:$A$20,A22,Abwesenheiten!$B$6:$B$20,"Urlaub")</f>
        <v>0</v>
      </c>
      <c r="G22" s="11">
        <f>SUMIFS(Abwesenheiten!$E$6:$E$20,Abwesenheiten!$A$6:$A$20,A22,Abwesenheiten!$B$6:$B$20,"Krankheit")</f>
        <v>0</v>
      </c>
      <c r="H22" s="12">
        <f>SUMIF(Arbeitsplan!$D$6:$D$300,A22,Arbeitsplan!$O$6:$O$300)</f>
        <v>3234</v>
      </c>
      <c r="I22" s="10" t="str">
        <f t="shared" si="1"/>
        <v>Unter Soll</v>
      </c>
    </row>
    <row r="23" spans="1:9" ht="18" customHeight="1" x14ac:dyDescent="0.25">
      <c r="A23" s="3" t="s">
        <v>103</v>
      </c>
      <c r="B23" s="10" t="str">
        <f>IFERROR(VLOOKUP(A23,Mitarbeiter!$C$6:$I$13,2,FALSE),"")</f>
        <v>Aushilfe</v>
      </c>
      <c r="C23" s="11">
        <f>SUMIF(Arbeitsplan!$D$6:$D$300,A23,Arbeitsplan!$L$6:$L$300)</f>
        <v>52</v>
      </c>
      <c r="D23" s="11">
        <f>SUMIF(Arbeitsplan!$D$6:$D$300,A23,Arbeitsplan!$K$6:$K$300)</f>
        <v>44</v>
      </c>
      <c r="E23" s="11">
        <f t="shared" si="0"/>
        <v>-8</v>
      </c>
      <c r="F23" s="11">
        <f>SUMIFS(Abwesenheiten!$E$6:$E$20,Abwesenheiten!$A$6:$A$20,A23,Abwesenheiten!$B$6:$B$20,"Urlaub")</f>
        <v>0</v>
      </c>
      <c r="G23" s="11">
        <f>SUMIFS(Abwesenheiten!$E$6:$E$20,Abwesenheiten!$A$6:$A$20,A23,Abwesenheiten!$B$6:$B$20,"Krankheit")</f>
        <v>2</v>
      </c>
      <c r="H23" s="12">
        <f>SUMIF(Arbeitsplan!$D$6:$D$300,A23,Arbeitsplan!$O$6:$O$300)</f>
        <v>660</v>
      </c>
      <c r="I23" s="10" t="str">
        <f t="shared" si="1"/>
        <v>Unter Soll</v>
      </c>
    </row>
    <row r="24" spans="1:9" ht="18" customHeight="1" x14ac:dyDescent="0.25">
      <c r="A24" s="3" t="s">
        <v>108</v>
      </c>
      <c r="B24" s="10" t="str">
        <f>IFERROR(VLOOKUP(A24,Mitarbeiter!$C$6:$I$13,2,FALSE),"")</f>
        <v>Mitarbeiter</v>
      </c>
      <c r="C24" s="11">
        <f>SUMIF(Arbeitsplan!$D$6:$D$300,A24,Arbeitsplan!$L$6:$L$300)</f>
        <v>48</v>
      </c>
      <c r="D24" s="11">
        <f>SUMIF(Arbeitsplan!$D$6:$D$300,A24,Arbeitsplan!$K$6:$K$300)</f>
        <v>40</v>
      </c>
      <c r="E24" s="11">
        <f t="shared" si="0"/>
        <v>-8</v>
      </c>
      <c r="F24" s="11">
        <f>SUMIFS(Abwesenheiten!$E$6:$E$20,Abwesenheiten!$A$6:$A$20,A24,Abwesenheiten!$B$6:$B$20,"Urlaub")</f>
        <v>0</v>
      </c>
      <c r="G24" s="11">
        <f>SUMIFS(Abwesenheiten!$E$6:$E$20,Abwesenheiten!$A$6:$A$20,A24,Abwesenheiten!$B$6:$B$20,"Krankheit")</f>
        <v>0</v>
      </c>
      <c r="H24" s="12">
        <f>SUMIF(Arbeitsplan!$D$6:$D$300,A24,Arbeitsplan!$O$6:$O$300)</f>
        <v>820</v>
      </c>
      <c r="I24" s="10" t="str">
        <f t="shared" si="1"/>
        <v>Unter Soll</v>
      </c>
    </row>
    <row r="25" spans="1:9" ht="18" customHeight="1" x14ac:dyDescent="0.25">
      <c r="A25" s="3" t="s">
        <v>112</v>
      </c>
      <c r="B25" s="10" t="str">
        <f>IFERROR(VLOOKUP(A25,Mitarbeiter!$C$6:$I$13,2,FALSE),"")</f>
        <v>Mitarbeiter</v>
      </c>
      <c r="C25" s="11">
        <f>SUMIF(Arbeitsplan!$D$6:$D$300,A25,Arbeitsplan!$L$6:$L$300)</f>
        <v>192</v>
      </c>
      <c r="D25" s="11">
        <f>SUMIF(Arbeitsplan!$D$6:$D$300,A25,Arbeitsplan!$K$6:$K$300)</f>
        <v>171.75</v>
      </c>
      <c r="E25" s="11">
        <f t="shared" si="0"/>
        <v>-20.25</v>
      </c>
      <c r="F25" s="11">
        <f>SUMIFS(Abwesenheiten!$E$6:$E$20,Abwesenheiten!$A$6:$A$20,A25,Abwesenheiten!$B$6:$B$20,"Urlaub")</f>
        <v>0</v>
      </c>
      <c r="G25" s="11">
        <f>SUMIFS(Abwesenheiten!$E$6:$E$20,Abwesenheiten!$A$6:$A$20,A25,Abwesenheiten!$B$6:$B$20,"Krankheit")</f>
        <v>0</v>
      </c>
      <c r="H25" s="12">
        <f>SUMIF(Arbeitsplan!$D$6:$D$300,A25,Arbeitsplan!$O$6:$O$300)</f>
        <v>3400.65</v>
      </c>
      <c r="I25" s="10" t="str">
        <f t="shared" si="1"/>
        <v>Unter Soll</v>
      </c>
    </row>
    <row r="27" spans="1:9" ht="18" customHeight="1" x14ac:dyDescent="0.25">
      <c r="A27" s="9" t="s">
        <v>130</v>
      </c>
      <c r="B27" s="9" t="s">
        <v>170</v>
      </c>
      <c r="C27" s="9" t="s">
        <v>70</v>
      </c>
      <c r="D27" s="9" t="s">
        <v>171</v>
      </c>
      <c r="E27" s="9" t="s">
        <v>172</v>
      </c>
      <c r="F27" s="9" t="s">
        <v>139</v>
      </c>
      <c r="G27" s="9" t="s">
        <v>36</v>
      </c>
    </row>
    <row r="28" spans="1:9" ht="18" customHeight="1" x14ac:dyDescent="0.25">
      <c r="A28" s="13">
        <v>46082</v>
      </c>
      <c r="B28" s="10" t="str">
        <f t="shared" ref="B28:B58" si="2">TEXT(A28,"dddd")</f>
        <v>domingo</v>
      </c>
      <c r="C28" s="10" t="s">
        <v>173</v>
      </c>
      <c r="D28" s="14">
        <f>COUNTIFS(Arbeitsplan!$A$6:$A$300,A28,Arbeitsplan!$K$6:$K$300,"&gt;0")</f>
        <v>2</v>
      </c>
      <c r="E28" s="14">
        <f t="shared" ref="E28:E58" si="3">IF(WEEKDAY(A28,2)&gt;5,2,5)</f>
        <v>2</v>
      </c>
      <c r="F28" s="14">
        <f t="shared" ref="F28:F58" si="4">D28-E28</f>
        <v>0</v>
      </c>
      <c r="G28" s="10" t="str">
        <f t="shared" ref="G28:G58" si="5">IF(D28&lt;E28,"Unterbesetzung",IF(D28&gt;E28,"Überbesetzung","OK"))</f>
        <v>OK</v>
      </c>
    </row>
    <row r="29" spans="1:9" ht="18" customHeight="1" x14ac:dyDescent="0.25">
      <c r="A29" s="13">
        <v>46083</v>
      </c>
      <c r="B29" s="10" t="str">
        <f t="shared" si="2"/>
        <v>lunes</v>
      </c>
      <c r="C29" s="10" t="s">
        <v>173</v>
      </c>
      <c r="D29" s="14">
        <f>COUNTIFS(Arbeitsplan!$A$6:$A$300,A29,Arbeitsplan!$K$6:$K$300,"&gt;0")</f>
        <v>6</v>
      </c>
      <c r="E29" s="14">
        <f t="shared" si="3"/>
        <v>5</v>
      </c>
      <c r="F29" s="14">
        <f t="shared" si="4"/>
        <v>1</v>
      </c>
      <c r="G29" s="10" t="str">
        <f t="shared" si="5"/>
        <v>Überbesetzung</v>
      </c>
    </row>
    <row r="30" spans="1:9" ht="18" customHeight="1" x14ac:dyDescent="0.25">
      <c r="A30" s="13">
        <v>46084</v>
      </c>
      <c r="B30" s="10" t="str">
        <f t="shared" si="2"/>
        <v>martes</v>
      </c>
      <c r="C30" s="10" t="s">
        <v>173</v>
      </c>
      <c r="D30" s="14">
        <f>COUNTIFS(Arbeitsplan!$A$6:$A$300,A30,Arbeitsplan!$K$6:$K$300,"&gt;0")</f>
        <v>6</v>
      </c>
      <c r="E30" s="14">
        <f t="shared" si="3"/>
        <v>5</v>
      </c>
      <c r="F30" s="14">
        <f t="shared" si="4"/>
        <v>1</v>
      </c>
      <c r="G30" s="10" t="str">
        <f t="shared" si="5"/>
        <v>Überbesetzung</v>
      </c>
    </row>
    <row r="31" spans="1:9" ht="18" customHeight="1" x14ac:dyDescent="0.25">
      <c r="A31" s="13">
        <v>46085</v>
      </c>
      <c r="B31" s="10" t="str">
        <f t="shared" si="2"/>
        <v>miércoles</v>
      </c>
      <c r="C31" s="10" t="s">
        <v>173</v>
      </c>
      <c r="D31" s="14">
        <f>COUNTIFS(Arbeitsplan!$A$6:$A$300,A31,Arbeitsplan!$K$6:$K$300,"&gt;0")</f>
        <v>6</v>
      </c>
      <c r="E31" s="14">
        <f t="shared" si="3"/>
        <v>5</v>
      </c>
      <c r="F31" s="14">
        <f t="shared" si="4"/>
        <v>1</v>
      </c>
      <c r="G31" s="10" t="str">
        <f t="shared" si="5"/>
        <v>Überbesetzung</v>
      </c>
    </row>
    <row r="32" spans="1:9" ht="18" customHeight="1" x14ac:dyDescent="0.25">
      <c r="A32" s="13">
        <v>46086</v>
      </c>
      <c r="B32" s="10" t="str">
        <f t="shared" si="2"/>
        <v>jueves</v>
      </c>
      <c r="C32" s="10" t="s">
        <v>173</v>
      </c>
      <c r="D32" s="14">
        <f>COUNTIFS(Arbeitsplan!$A$6:$A$300,A32,Arbeitsplan!$K$6:$K$300,"&gt;0")</f>
        <v>5</v>
      </c>
      <c r="E32" s="14">
        <f t="shared" si="3"/>
        <v>5</v>
      </c>
      <c r="F32" s="14">
        <f t="shared" si="4"/>
        <v>0</v>
      </c>
      <c r="G32" s="10" t="str">
        <f t="shared" si="5"/>
        <v>OK</v>
      </c>
    </row>
    <row r="33" spans="1:7" ht="18" customHeight="1" x14ac:dyDescent="0.25">
      <c r="A33" s="13">
        <v>46087</v>
      </c>
      <c r="B33" s="10" t="str">
        <f t="shared" si="2"/>
        <v>viernes</v>
      </c>
      <c r="C33" s="10" t="s">
        <v>173</v>
      </c>
      <c r="D33" s="14">
        <f>COUNTIFS(Arbeitsplan!$A$6:$A$300,A33,Arbeitsplan!$K$6:$K$300,"&gt;0")</f>
        <v>4</v>
      </c>
      <c r="E33" s="14">
        <f t="shared" si="3"/>
        <v>5</v>
      </c>
      <c r="F33" s="14">
        <f t="shared" si="4"/>
        <v>-1</v>
      </c>
      <c r="G33" s="10" t="str">
        <f t="shared" si="5"/>
        <v>Unterbesetzung</v>
      </c>
    </row>
    <row r="34" spans="1:7" ht="18" customHeight="1" x14ac:dyDescent="0.25">
      <c r="A34" s="13">
        <v>46088</v>
      </c>
      <c r="B34" s="10" t="str">
        <f t="shared" si="2"/>
        <v>sábado</v>
      </c>
      <c r="C34" s="10" t="s">
        <v>173</v>
      </c>
      <c r="D34" s="14">
        <f>COUNTIFS(Arbeitsplan!$A$6:$A$300,A34,Arbeitsplan!$K$6:$K$300,"&gt;0")</f>
        <v>3</v>
      </c>
      <c r="E34" s="14">
        <f t="shared" si="3"/>
        <v>2</v>
      </c>
      <c r="F34" s="14">
        <f t="shared" si="4"/>
        <v>1</v>
      </c>
      <c r="G34" s="10" t="str">
        <f t="shared" si="5"/>
        <v>Überbesetzung</v>
      </c>
    </row>
    <row r="35" spans="1:7" ht="18" customHeight="1" x14ac:dyDescent="0.25">
      <c r="A35" s="13">
        <v>46089</v>
      </c>
      <c r="B35" s="10" t="str">
        <f t="shared" si="2"/>
        <v>domingo</v>
      </c>
      <c r="C35" s="10" t="s">
        <v>173</v>
      </c>
      <c r="D35" s="14">
        <f>COUNTIFS(Arbeitsplan!$A$6:$A$300,A35,Arbeitsplan!$K$6:$K$300,"&gt;0")</f>
        <v>2</v>
      </c>
      <c r="E35" s="14">
        <f t="shared" si="3"/>
        <v>2</v>
      </c>
      <c r="F35" s="14">
        <f t="shared" si="4"/>
        <v>0</v>
      </c>
      <c r="G35" s="10" t="str">
        <f t="shared" si="5"/>
        <v>OK</v>
      </c>
    </row>
    <row r="36" spans="1:7" ht="18" customHeight="1" x14ac:dyDescent="0.25">
      <c r="A36" s="13">
        <v>46090</v>
      </c>
      <c r="B36" s="10" t="str">
        <f t="shared" si="2"/>
        <v>lunes</v>
      </c>
      <c r="C36" s="10" t="s">
        <v>173</v>
      </c>
      <c r="D36" s="14">
        <f>COUNTIFS(Arbeitsplan!$A$6:$A$300,A36,Arbeitsplan!$K$6:$K$300,"&gt;0")</f>
        <v>6</v>
      </c>
      <c r="E36" s="14">
        <f t="shared" si="3"/>
        <v>5</v>
      </c>
      <c r="F36" s="14">
        <f t="shared" si="4"/>
        <v>1</v>
      </c>
      <c r="G36" s="10" t="str">
        <f t="shared" si="5"/>
        <v>Überbesetzung</v>
      </c>
    </row>
    <row r="37" spans="1:7" ht="18" customHeight="1" x14ac:dyDescent="0.25">
      <c r="A37" s="13">
        <v>46091</v>
      </c>
      <c r="B37" s="10" t="str">
        <f t="shared" si="2"/>
        <v>martes</v>
      </c>
      <c r="C37" s="10" t="s">
        <v>173</v>
      </c>
      <c r="D37" s="14">
        <f>COUNTIFS(Arbeitsplan!$A$6:$A$300,A37,Arbeitsplan!$K$6:$K$300,"&gt;0")</f>
        <v>5</v>
      </c>
      <c r="E37" s="14">
        <f t="shared" si="3"/>
        <v>5</v>
      </c>
      <c r="F37" s="14">
        <f t="shared" si="4"/>
        <v>0</v>
      </c>
      <c r="G37" s="10" t="str">
        <f t="shared" si="5"/>
        <v>OK</v>
      </c>
    </row>
    <row r="38" spans="1:7" ht="18" customHeight="1" x14ac:dyDescent="0.25">
      <c r="A38" s="13">
        <v>46092</v>
      </c>
      <c r="B38" s="10" t="str">
        <f t="shared" si="2"/>
        <v>miércoles</v>
      </c>
      <c r="C38" s="10" t="s">
        <v>173</v>
      </c>
      <c r="D38" s="14">
        <f>COUNTIFS(Arbeitsplan!$A$6:$A$300,A38,Arbeitsplan!$K$6:$K$300,"&gt;0")</f>
        <v>6</v>
      </c>
      <c r="E38" s="14">
        <f t="shared" si="3"/>
        <v>5</v>
      </c>
      <c r="F38" s="14">
        <f t="shared" si="4"/>
        <v>1</v>
      </c>
      <c r="G38" s="10" t="str">
        <f t="shared" si="5"/>
        <v>Überbesetzung</v>
      </c>
    </row>
    <row r="39" spans="1:7" ht="18" customHeight="1" x14ac:dyDescent="0.25">
      <c r="A39" s="13">
        <v>46093</v>
      </c>
      <c r="B39" s="10" t="str">
        <f t="shared" si="2"/>
        <v>jueves</v>
      </c>
      <c r="C39" s="10" t="s">
        <v>173</v>
      </c>
      <c r="D39" s="14">
        <f>COUNTIFS(Arbeitsplan!$A$6:$A$300,A39,Arbeitsplan!$K$6:$K$300,"&gt;0")</f>
        <v>6</v>
      </c>
      <c r="E39" s="14">
        <f t="shared" si="3"/>
        <v>5</v>
      </c>
      <c r="F39" s="14">
        <f t="shared" si="4"/>
        <v>1</v>
      </c>
      <c r="G39" s="10" t="str">
        <f t="shared" si="5"/>
        <v>Überbesetzung</v>
      </c>
    </row>
    <row r="40" spans="1:7" ht="18" customHeight="1" x14ac:dyDescent="0.25">
      <c r="A40" s="13">
        <v>46094</v>
      </c>
      <c r="B40" s="10" t="str">
        <f t="shared" si="2"/>
        <v>viernes</v>
      </c>
      <c r="C40" s="10" t="s">
        <v>173</v>
      </c>
      <c r="D40" s="14">
        <f>COUNTIFS(Arbeitsplan!$A$6:$A$300,A40,Arbeitsplan!$K$6:$K$300,"&gt;0")</f>
        <v>5</v>
      </c>
      <c r="E40" s="14">
        <f t="shared" si="3"/>
        <v>5</v>
      </c>
      <c r="F40" s="14">
        <f t="shared" si="4"/>
        <v>0</v>
      </c>
      <c r="G40" s="10" t="str">
        <f t="shared" si="5"/>
        <v>OK</v>
      </c>
    </row>
    <row r="41" spans="1:7" ht="18" customHeight="1" x14ac:dyDescent="0.25">
      <c r="A41" s="13">
        <v>46095</v>
      </c>
      <c r="B41" s="10" t="str">
        <f t="shared" si="2"/>
        <v>sábado</v>
      </c>
      <c r="C41" s="10" t="s">
        <v>173</v>
      </c>
      <c r="D41" s="14">
        <f>COUNTIFS(Arbeitsplan!$A$6:$A$300,A41,Arbeitsplan!$K$6:$K$300,"&gt;0")</f>
        <v>2</v>
      </c>
      <c r="E41" s="14">
        <f t="shared" si="3"/>
        <v>2</v>
      </c>
      <c r="F41" s="14">
        <f t="shared" si="4"/>
        <v>0</v>
      </c>
      <c r="G41" s="10" t="str">
        <f t="shared" si="5"/>
        <v>OK</v>
      </c>
    </row>
    <row r="42" spans="1:7" ht="18" customHeight="1" x14ac:dyDescent="0.25">
      <c r="A42" s="13">
        <v>46096</v>
      </c>
      <c r="B42" s="10" t="str">
        <f t="shared" si="2"/>
        <v>domingo</v>
      </c>
      <c r="C42" s="10" t="s">
        <v>173</v>
      </c>
      <c r="D42" s="14">
        <f>COUNTIFS(Arbeitsplan!$A$6:$A$300,A42,Arbeitsplan!$K$6:$K$300,"&gt;0")</f>
        <v>2</v>
      </c>
      <c r="E42" s="14">
        <f t="shared" si="3"/>
        <v>2</v>
      </c>
      <c r="F42" s="14">
        <f t="shared" si="4"/>
        <v>0</v>
      </c>
      <c r="G42" s="10" t="str">
        <f t="shared" si="5"/>
        <v>OK</v>
      </c>
    </row>
    <row r="43" spans="1:7" ht="18" customHeight="1" x14ac:dyDescent="0.25">
      <c r="A43" s="13">
        <v>46097</v>
      </c>
      <c r="B43" s="10" t="str">
        <f t="shared" si="2"/>
        <v>lunes</v>
      </c>
      <c r="C43" s="10" t="s">
        <v>173</v>
      </c>
      <c r="D43" s="14">
        <f>COUNTIFS(Arbeitsplan!$A$6:$A$300,A43,Arbeitsplan!$K$6:$K$300,"&gt;0")</f>
        <v>6</v>
      </c>
      <c r="E43" s="14">
        <f t="shared" si="3"/>
        <v>5</v>
      </c>
      <c r="F43" s="14">
        <f t="shared" si="4"/>
        <v>1</v>
      </c>
      <c r="G43" s="10" t="str">
        <f t="shared" si="5"/>
        <v>Überbesetzung</v>
      </c>
    </row>
    <row r="44" spans="1:7" ht="18" customHeight="1" x14ac:dyDescent="0.25">
      <c r="A44" s="13">
        <v>46098</v>
      </c>
      <c r="B44" s="10" t="str">
        <f t="shared" si="2"/>
        <v>martes</v>
      </c>
      <c r="C44" s="10" t="s">
        <v>173</v>
      </c>
      <c r="D44" s="14">
        <f>COUNTIFS(Arbeitsplan!$A$6:$A$300,A44,Arbeitsplan!$K$6:$K$300,"&gt;0")</f>
        <v>6</v>
      </c>
      <c r="E44" s="14">
        <f t="shared" si="3"/>
        <v>5</v>
      </c>
      <c r="F44" s="14">
        <f t="shared" si="4"/>
        <v>1</v>
      </c>
      <c r="G44" s="10" t="str">
        <f t="shared" si="5"/>
        <v>Überbesetzung</v>
      </c>
    </row>
    <row r="45" spans="1:7" ht="18" customHeight="1" x14ac:dyDescent="0.25">
      <c r="A45" s="13">
        <v>46099</v>
      </c>
      <c r="B45" s="10" t="str">
        <f t="shared" si="2"/>
        <v>miércoles</v>
      </c>
      <c r="C45" s="10" t="s">
        <v>173</v>
      </c>
      <c r="D45" s="14">
        <f>COUNTIFS(Arbeitsplan!$A$6:$A$300,A45,Arbeitsplan!$K$6:$K$300,"&gt;0")</f>
        <v>5</v>
      </c>
      <c r="E45" s="14">
        <f t="shared" si="3"/>
        <v>5</v>
      </c>
      <c r="F45" s="14">
        <f t="shared" si="4"/>
        <v>0</v>
      </c>
      <c r="G45" s="10" t="str">
        <f t="shared" si="5"/>
        <v>OK</v>
      </c>
    </row>
    <row r="46" spans="1:7" ht="18" customHeight="1" x14ac:dyDescent="0.25">
      <c r="A46" s="13">
        <v>46100</v>
      </c>
      <c r="B46" s="10" t="str">
        <f t="shared" si="2"/>
        <v>jueves</v>
      </c>
      <c r="C46" s="10" t="s">
        <v>173</v>
      </c>
      <c r="D46" s="14">
        <f>COUNTIFS(Arbeitsplan!$A$6:$A$300,A46,Arbeitsplan!$K$6:$K$300,"&gt;0")</f>
        <v>6</v>
      </c>
      <c r="E46" s="14">
        <f t="shared" si="3"/>
        <v>5</v>
      </c>
      <c r="F46" s="14">
        <f t="shared" si="4"/>
        <v>1</v>
      </c>
      <c r="G46" s="10" t="str">
        <f t="shared" si="5"/>
        <v>Überbesetzung</v>
      </c>
    </row>
    <row r="47" spans="1:7" ht="18" customHeight="1" x14ac:dyDescent="0.25">
      <c r="A47" s="13">
        <v>46101</v>
      </c>
      <c r="B47" s="10" t="str">
        <f t="shared" si="2"/>
        <v>viernes</v>
      </c>
      <c r="C47" s="10" t="s">
        <v>173</v>
      </c>
      <c r="D47" s="14">
        <f>COUNTIFS(Arbeitsplan!$A$6:$A$300,A47,Arbeitsplan!$K$6:$K$300,"&gt;0")</f>
        <v>5</v>
      </c>
      <c r="E47" s="14">
        <f t="shared" si="3"/>
        <v>5</v>
      </c>
      <c r="F47" s="14">
        <f t="shared" si="4"/>
        <v>0</v>
      </c>
      <c r="G47" s="10" t="str">
        <f t="shared" si="5"/>
        <v>OK</v>
      </c>
    </row>
    <row r="48" spans="1:7" ht="18" customHeight="1" x14ac:dyDescent="0.25">
      <c r="A48" s="13">
        <v>46102</v>
      </c>
      <c r="B48" s="10" t="str">
        <f t="shared" si="2"/>
        <v>sábado</v>
      </c>
      <c r="C48" s="10" t="s">
        <v>173</v>
      </c>
      <c r="D48" s="14">
        <f>COUNTIFS(Arbeitsplan!$A$6:$A$300,A48,Arbeitsplan!$K$6:$K$300,"&gt;0")</f>
        <v>3</v>
      </c>
      <c r="E48" s="14">
        <f t="shared" si="3"/>
        <v>2</v>
      </c>
      <c r="F48" s="14">
        <f t="shared" si="4"/>
        <v>1</v>
      </c>
      <c r="G48" s="10" t="str">
        <f t="shared" si="5"/>
        <v>Überbesetzung</v>
      </c>
    </row>
    <row r="49" spans="1:7" ht="18" customHeight="1" x14ac:dyDescent="0.25">
      <c r="A49" s="13">
        <v>46103</v>
      </c>
      <c r="B49" s="10" t="str">
        <f t="shared" si="2"/>
        <v>domingo</v>
      </c>
      <c r="C49" s="10" t="s">
        <v>173</v>
      </c>
      <c r="D49" s="14">
        <f>COUNTIFS(Arbeitsplan!$A$6:$A$300,A49,Arbeitsplan!$K$6:$K$300,"&gt;0")</f>
        <v>2</v>
      </c>
      <c r="E49" s="14">
        <f t="shared" si="3"/>
        <v>2</v>
      </c>
      <c r="F49" s="14">
        <f t="shared" si="4"/>
        <v>0</v>
      </c>
      <c r="G49" s="10" t="str">
        <f t="shared" si="5"/>
        <v>OK</v>
      </c>
    </row>
    <row r="50" spans="1:7" ht="18" customHeight="1" x14ac:dyDescent="0.25">
      <c r="A50" s="13">
        <v>46104</v>
      </c>
      <c r="B50" s="10" t="str">
        <f t="shared" si="2"/>
        <v>lunes</v>
      </c>
      <c r="C50" s="10" t="s">
        <v>173</v>
      </c>
      <c r="D50" s="14">
        <f>COUNTIFS(Arbeitsplan!$A$6:$A$300,A50,Arbeitsplan!$K$6:$K$300,"&gt;0")</f>
        <v>6</v>
      </c>
      <c r="E50" s="14">
        <f t="shared" si="3"/>
        <v>5</v>
      </c>
      <c r="F50" s="14">
        <f t="shared" si="4"/>
        <v>1</v>
      </c>
      <c r="G50" s="10" t="str">
        <f t="shared" si="5"/>
        <v>Überbesetzung</v>
      </c>
    </row>
    <row r="51" spans="1:7" ht="18" customHeight="1" x14ac:dyDescent="0.25">
      <c r="A51" s="13">
        <v>46105</v>
      </c>
      <c r="B51" s="10" t="str">
        <f t="shared" si="2"/>
        <v>martes</v>
      </c>
      <c r="C51" s="10" t="s">
        <v>173</v>
      </c>
      <c r="D51" s="14">
        <f>COUNTIFS(Arbeitsplan!$A$6:$A$300,A51,Arbeitsplan!$K$6:$K$300,"&gt;0")</f>
        <v>5</v>
      </c>
      <c r="E51" s="14">
        <f t="shared" si="3"/>
        <v>5</v>
      </c>
      <c r="F51" s="14">
        <f t="shared" si="4"/>
        <v>0</v>
      </c>
      <c r="G51" s="10" t="str">
        <f t="shared" si="5"/>
        <v>OK</v>
      </c>
    </row>
    <row r="52" spans="1:7" ht="18" customHeight="1" x14ac:dyDescent="0.25">
      <c r="A52" s="13">
        <v>46106</v>
      </c>
      <c r="B52" s="10" t="str">
        <f t="shared" si="2"/>
        <v>miércoles</v>
      </c>
      <c r="C52" s="10" t="s">
        <v>173</v>
      </c>
      <c r="D52" s="14">
        <f>COUNTIFS(Arbeitsplan!$A$6:$A$300,A52,Arbeitsplan!$K$6:$K$300,"&gt;0")</f>
        <v>6</v>
      </c>
      <c r="E52" s="14">
        <f t="shared" si="3"/>
        <v>5</v>
      </c>
      <c r="F52" s="14">
        <f t="shared" si="4"/>
        <v>1</v>
      </c>
      <c r="G52" s="10" t="str">
        <f t="shared" si="5"/>
        <v>Überbesetzung</v>
      </c>
    </row>
    <row r="53" spans="1:7" ht="18" customHeight="1" x14ac:dyDescent="0.25">
      <c r="A53" s="13">
        <v>46107</v>
      </c>
      <c r="B53" s="10" t="str">
        <f t="shared" si="2"/>
        <v>jueves</v>
      </c>
      <c r="C53" s="10" t="s">
        <v>173</v>
      </c>
      <c r="D53" s="14">
        <f>COUNTIFS(Arbeitsplan!$A$6:$A$300,A53,Arbeitsplan!$K$6:$K$300,"&gt;0")</f>
        <v>7</v>
      </c>
      <c r="E53" s="14">
        <f t="shared" si="3"/>
        <v>5</v>
      </c>
      <c r="F53" s="14">
        <f t="shared" si="4"/>
        <v>2</v>
      </c>
      <c r="G53" s="10" t="str">
        <f t="shared" si="5"/>
        <v>Überbesetzung</v>
      </c>
    </row>
    <row r="54" spans="1:7" ht="18" customHeight="1" x14ac:dyDescent="0.25">
      <c r="A54" s="13">
        <v>46108</v>
      </c>
      <c r="B54" s="10" t="str">
        <f t="shared" si="2"/>
        <v>viernes</v>
      </c>
      <c r="C54" s="10" t="s">
        <v>173</v>
      </c>
      <c r="D54" s="14">
        <f>COUNTIFS(Arbeitsplan!$A$6:$A$300,A54,Arbeitsplan!$K$6:$K$300,"&gt;0")</f>
        <v>5</v>
      </c>
      <c r="E54" s="14">
        <f t="shared" si="3"/>
        <v>5</v>
      </c>
      <c r="F54" s="14">
        <f t="shared" si="4"/>
        <v>0</v>
      </c>
      <c r="G54" s="10" t="str">
        <f t="shared" si="5"/>
        <v>OK</v>
      </c>
    </row>
    <row r="55" spans="1:7" ht="18" customHeight="1" x14ac:dyDescent="0.25">
      <c r="A55" s="13">
        <v>46109</v>
      </c>
      <c r="B55" s="10" t="str">
        <f t="shared" si="2"/>
        <v>sábado</v>
      </c>
      <c r="C55" s="10" t="s">
        <v>173</v>
      </c>
      <c r="D55" s="14">
        <f>COUNTIFS(Arbeitsplan!$A$6:$A$300,A55,Arbeitsplan!$K$6:$K$300,"&gt;0")</f>
        <v>2</v>
      </c>
      <c r="E55" s="14">
        <f t="shared" si="3"/>
        <v>2</v>
      </c>
      <c r="F55" s="14">
        <f t="shared" si="4"/>
        <v>0</v>
      </c>
      <c r="G55" s="10" t="str">
        <f t="shared" si="5"/>
        <v>OK</v>
      </c>
    </row>
    <row r="56" spans="1:7" ht="18" customHeight="1" x14ac:dyDescent="0.25">
      <c r="A56" s="13">
        <v>46110</v>
      </c>
      <c r="B56" s="10" t="str">
        <f t="shared" si="2"/>
        <v>domingo</v>
      </c>
      <c r="C56" s="10" t="s">
        <v>173</v>
      </c>
      <c r="D56" s="14">
        <f>COUNTIFS(Arbeitsplan!$A$6:$A$300,A56,Arbeitsplan!$K$6:$K$300,"&gt;0")</f>
        <v>2</v>
      </c>
      <c r="E56" s="14">
        <f t="shared" si="3"/>
        <v>2</v>
      </c>
      <c r="F56" s="14">
        <f t="shared" si="4"/>
        <v>0</v>
      </c>
      <c r="G56" s="10" t="str">
        <f t="shared" si="5"/>
        <v>OK</v>
      </c>
    </row>
    <row r="57" spans="1:7" ht="18" customHeight="1" x14ac:dyDescent="0.25">
      <c r="A57" s="13">
        <v>46111</v>
      </c>
      <c r="B57" s="10" t="str">
        <f t="shared" si="2"/>
        <v>lunes</v>
      </c>
      <c r="C57" s="10" t="s">
        <v>173</v>
      </c>
      <c r="D57" s="14">
        <f>COUNTIFS(Arbeitsplan!$A$6:$A$300,A57,Arbeitsplan!$K$6:$K$300,"&gt;0")</f>
        <v>6</v>
      </c>
      <c r="E57" s="14">
        <f t="shared" si="3"/>
        <v>5</v>
      </c>
      <c r="F57" s="14">
        <f t="shared" si="4"/>
        <v>1</v>
      </c>
      <c r="G57" s="10" t="str">
        <f t="shared" si="5"/>
        <v>Überbesetzung</v>
      </c>
    </row>
    <row r="58" spans="1:7" ht="18" customHeight="1" x14ac:dyDescent="0.25">
      <c r="A58" s="13">
        <v>46112</v>
      </c>
      <c r="B58" s="10" t="str">
        <f t="shared" si="2"/>
        <v>martes</v>
      </c>
      <c r="C58" s="10" t="s">
        <v>173</v>
      </c>
      <c r="D58" s="14">
        <f>COUNTIFS(Arbeitsplan!$A$6:$A$300,A58,Arbeitsplan!$K$6:$K$300,"&gt;0")</f>
        <v>6</v>
      </c>
      <c r="E58" s="14">
        <f t="shared" si="3"/>
        <v>5</v>
      </c>
      <c r="F58" s="14">
        <f t="shared" si="4"/>
        <v>1</v>
      </c>
      <c r="G58" s="10" t="str">
        <f t="shared" si="5"/>
        <v>Überbesetzung</v>
      </c>
    </row>
    <row r="62" spans="1:7" ht="18" customHeight="1" x14ac:dyDescent="0.25">
      <c r="A62" s="9" t="s">
        <v>132</v>
      </c>
      <c r="B62" s="9" t="s">
        <v>169</v>
      </c>
    </row>
    <row r="63" spans="1:7" ht="18" customHeight="1" x14ac:dyDescent="0.25">
      <c r="A63" s="15">
        <v>9</v>
      </c>
      <c r="B63" s="12">
        <f ca="1">SUMIF(Arbeitsplan!$C$6:$C$300,A63,Arbeitsplan!$O$6:$O$300)</f>
        <v>0</v>
      </c>
    </row>
    <row r="64" spans="1:7" ht="18" customHeight="1" x14ac:dyDescent="0.25">
      <c r="A64" s="15">
        <v>10</v>
      </c>
      <c r="B64" s="12">
        <f ca="1">SUMIF(Arbeitsplan!$C$6:$C$300,A64,Arbeitsplan!$O$6:$O$300)</f>
        <v>0</v>
      </c>
    </row>
    <row r="65" spans="1:2" ht="18" customHeight="1" x14ac:dyDescent="0.25">
      <c r="A65" s="15">
        <v>11</v>
      </c>
      <c r="B65" s="12">
        <f ca="1">SUMIF(Arbeitsplan!$C$6:$C$300,A65,Arbeitsplan!$O$6:$O$300)</f>
        <v>0</v>
      </c>
    </row>
    <row r="66" spans="1:2" ht="18" customHeight="1" x14ac:dyDescent="0.25">
      <c r="A66" s="15">
        <v>12</v>
      </c>
      <c r="B66" s="12">
        <f ca="1">SUMIF(Arbeitsplan!$C$6:$C$300,A66,Arbeitsplan!$O$6:$O$300)</f>
        <v>0</v>
      </c>
    </row>
    <row r="67" spans="1:2" ht="18" customHeight="1" x14ac:dyDescent="0.25">
      <c r="A67" s="15">
        <v>13</v>
      </c>
      <c r="B67" s="12">
        <f ca="1">SUMIF(Arbeitsplan!$C$6:$C$300,A67,Arbeitsplan!$O$6:$O$300)</f>
        <v>0</v>
      </c>
    </row>
    <row r="68" spans="1:2" ht="18" customHeight="1" x14ac:dyDescent="0.25">
      <c r="A68" s="15">
        <v>14</v>
      </c>
      <c r="B68" s="12">
        <f ca="1">SUMIF(Arbeitsplan!$C$6:$C$300,A68,Arbeitsplan!$O$6:$O$300)</f>
        <v>0</v>
      </c>
    </row>
  </sheetData>
  <mergeCells count="2">
    <mergeCell ref="A1:I1"/>
    <mergeCell ref="A2:D2"/>
  </mergeCells>
  <conditionalFormatting sqref="G28:G58">
    <cfRule type="containsText" dxfId="21" priority="4" operator="containsText" text="Unterbesetzung">
      <formula>NOT(ISERROR(SEARCH("Unterbesetzung",G28)))</formula>
    </cfRule>
    <cfRule type="containsText" dxfId="20" priority="5" operator="containsText" text="Überbesetzung">
      <formula>NOT(ISERROR(SEARCH("Überbesetzung",G28)))</formula>
    </cfRule>
    <cfRule type="containsText" dxfId="19" priority="6" operator="containsText" text="OK">
      <formula>NOT(ISERROR(SEARCH("OK",G28)))</formula>
    </cfRule>
  </conditionalFormatting>
  <conditionalFormatting sqref="I18:I25">
    <cfRule type="containsText" dxfId="18" priority="1" operator="containsText" text="OK">
      <formula>NOT(ISERROR(SEARCH("OK",I18)))</formula>
    </cfRule>
    <cfRule type="containsText" dxfId="17" priority="2" operator="containsText" text="Unter Soll">
      <formula>NOT(ISERROR(SEARCH("Unter Soll",I18)))</formula>
    </cfRule>
    <cfRule type="containsText" dxfId="16" priority="3" operator="containsText" text="Überstunden">
      <formula>NOT(ISERROR(SEARCH("Überstunden",I18)))</formula>
    </cfRule>
  </conditionalFormatting>
  <dataValidations count="4">
    <dataValidation type="list" allowBlank="1" showInputMessage="1" showErrorMessage="1" sqref="B6" xr:uid="{00000000-0002-0000-0000-000000000000}">
      <formula1>"Januar,Februar,März,April,Mai,Juni,Juli,August,September,Oktober,November,Dezember"</formula1>
    </dataValidation>
    <dataValidation type="list" allowBlank="1" showInputMessage="1" showErrorMessage="1" sqref="B8" xr:uid="{00000000-0002-0000-0000-000001000000}">
      <formula1>"Geschäftsführung,Teamleitung,Personalabteilung,Schichtleitung,Verwaltung"</formula1>
    </dataValidation>
    <dataValidation type="list" allowBlank="1" showInputMessage="1" showErrorMessage="1" sqref="B9" xr:uid="{00000000-0002-0000-0000-000002000000}">
      <formula1>"EUR,CHF,USD"</formula1>
    </dataValidation>
    <dataValidation type="list" allowBlank="1" showInputMessage="1" showErrorMessage="1" sqref="B10" xr:uid="{00000000-0002-0000-0000-000003000000}">
      <formula1>"Montag,Sonntag"</formula1>
    </dataValidation>
  </dataValidations>
  <pageMargins left="0.3" right="0.3" top="0.6" bottom="0.6" header="0.3" footer="0.3"/>
  <pageSetup paperSize="9" fitToHeight="0" orientation="landscape"/>
  <headerFooter>
    <oddHeader>&amp;CMuster GmbH – März 2026</oddHeader>
    <oddFooter>&amp;L&amp;D &amp;T&amp;CArbeitsplan Excel&amp;RSeite &amp;P von &amp;N</oddFooter>
  </headerFooter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157"/>
  <sheetViews>
    <sheetView showGridLines="0" workbookViewId="0">
      <pane ySplit="5" topLeftCell="A6" activePane="bottomLeft" state="frozen"/>
      <selection pane="bottomLeft" sqref="A1:S1"/>
    </sheetView>
  </sheetViews>
  <sheetFormatPr baseColWidth="10" defaultColWidth="9.140625" defaultRowHeight="18" customHeight="1" x14ac:dyDescent="0.25"/>
  <cols>
    <col min="1" max="1" width="12.7109375" customWidth="1"/>
    <col min="2" max="2" width="13.7109375" customWidth="1"/>
    <col min="3" max="3" width="14.7109375" customWidth="1"/>
    <col min="4" max="4" width="18.7109375" customWidth="1"/>
    <col min="5" max="5" width="16.7109375" customWidth="1"/>
    <col min="6" max="7" width="14.7109375" customWidth="1"/>
    <col min="8" max="9" width="10.7109375" customWidth="1"/>
    <col min="10" max="10" width="12.7109375" customWidth="1"/>
    <col min="11" max="13" width="14.7109375" customWidth="1"/>
    <col min="14" max="15" width="13.7109375" customWidth="1"/>
    <col min="16" max="16" width="15.7109375" customWidth="1"/>
    <col min="17" max="18" width="16.7109375" customWidth="1"/>
    <col min="19" max="19" width="28.7109375" customWidth="1"/>
  </cols>
  <sheetData>
    <row r="1" spans="1:19" ht="27.95" customHeight="1" x14ac:dyDescent="0.25">
      <c r="A1" s="21" t="s">
        <v>128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pans="1:19" ht="18" customHeight="1" x14ac:dyDescent="0.25">
      <c r="A2" s="1" t="s">
        <v>129</v>
      </c>
    </row>
    <row r="5" spans="1:19" ht="30" customHeight="1" x14ac:dyDescent="0.25">
      <c r="A5" s="9" t="s">
        <v>130</v>
      </c>
      <c r="B5" s="9" t="s">
        <v>131</v>
      </c>
      <c r="C5" s="9" t="s">
        <v>132</v>
      </c>
      <c r="D5" s="9" t="s">
        <v>13</v>
      </c>
      <c r="E5" s="9" t="s">
        <v>69</v>
      </c>
      <c r="F5" s="9" t="s">
        <v>70</v>
      </c>
      <c r="G5" s="9" t="s">
        <v>133</v>
      </c>
      <c r="H5" s="9" t="s">
        <v>134</v>
      </c>
      <c r="I5" s="9" t="s">
        <v>135</v>
      </c>
      <c r="J5" s="9" t="s">
        <v>136</v>
      </c>
      <c r="K5" s="9" t="s">
        <v>137</v>
      </c>
      <c r="L5" s="9" t="s">
        <v>138</v>
      </c>
      <c r="M5" s="9" t="s">
        <v>139</v>
      </c>
      <c r="N5" s="9" t="s">
        <v>74</v>
      </c>
      <c r="O5" s="9" t="s">
        <v>140</v>
      </c>
      <c r="P5" s="9" t="s">
        <v>141</v>
      </c>
      <c r="Q5" s="9" t="s">
        <v>36</v>
      </c>
      <c r="R5" s="9" t="s">
        <v>142</v>
      </c>
      <c r="S5" s="9" t="s">
        <v>78</v>
      </c>
    </row>
    <row r="6" spans="1:19" ht="18" customHeight="1" x14ac:dyDescent="0.25">
      <c r="A6" s="16">
        <v>46082</v>
      </c>
      <c r="B6" s="10" t="str">
        <f t="shared" ref="B6:B37" si="0">TEXT(A6,"dddd")</f>
        <v>domingo</v>
      </c>
      <c r="C6" s="14" t="e">
        <f t="shared" ref="C6:C37" ca="1" si="1">_xludf.ISOWEEKNUM(A6)</f>
        <v>#NAME?</v>
      </c>
      <c r="D6" s="3" t="s">
        <v>103</v>
      </c>
      <c r="E6" s="10" t="str">
        <f>IFERROR(VLOOKUP(D6,Mitarbeiter!$C$6:$I$13,2,FALSE),"")</f>
        <v>Aushilfe</v>
      </c>
      <c r="F6" s="10" t="str">
        <f>IFERROR(VLOOKUP(D6,Mitarbeiter!$C$6:$I$13,3,FALSE),"")</f>
        <v>Service</v>
      </c>
      <c r="G6" s="3" t="s">
        <v>7</v>
      </c>
      <c r="H6" s="17">
        <v>0.375</v>
      </c>
      <c r="I6" s="17">
        <v>0.54166666666666663</v>
      </c>
      <c r="J6" s="18">
        <v>0</v>
      </c>
      <c r="K6" s="11">
        <f t="shared" ref="K6:K37" si="2">IF(OR(P6="Urlaub",P6="Krankheit",P6="Frei",P6="Feiertag"),0,IF(OR(H6="",I6=""),0,ROUND((MOD(I6-H6,1)*24)-(J6/60),2)))</f>
        <v>4</v>
      </c>
      <c r="L6" s="11">
        <f>IFERROR(VLOOKUP(D6,Mitarbeiter!$C$6:$I$13,6,FALSE),0)</f>
        <v>4</v>
      </c>
      <c r="M6" s="11">
        <f t="shared" ref="M6:M37" si="3">K6-L6</f>
        <v>0</v>
      </c>
      <c r="N6" s="12">
        <f>IFERROR(VLOOKUP(D6,Mitarbeiter!$C$6:$I$13,7,FALSE),0)</f>
        <v>15</v>
      </c>
      <c r="O6" s="12">
        <f t="shared" ref="O6:O37" si="4">K6*N6</f>
        <v>60</v>
      </c>
      <c r="P6" s="3"/>
      <c r="Q6" s="3" t="s">
        <v>38</v>
      </c>
      <c r="R6" s="10" t="str">
        <f t="shared" ref="R6:R37" si="5">IF(P6&lt;&gt;"","Ruhetag / Abwesenheit",IF(M6&gt;2,"Überstunden",IF(M6&lt;-2,"Unter Soll","OK")))</f>
        <v>OK</v>
      </c>
      <c r="S6" s="19"/>
    </row>
    <row r="7" spans="1:19" ht="18" customHeight="1" x14ac:dyDescent="0.25">
      <c r="A7" s="16">
        <v>46082</v>
      </c>
      <c r="B7" s="10" t="str">
        <f t="shared" si="0"/>
        <v>domingo</v>
      </c>
      <c r="C7" s="14" t="e">
        <f t="shared" ca="1" si="1"/>
        <v>#NAME?</v>
      </c>
      <c r="D7" s="3" t="s">
        <v>89</v>
      </c>
      <c r="E7" s="10" t="str">
        <f>IFERROR(VLOOKUP(D7,Mitarbeiter!$C$6:$I$13,2,FALSE),"")</f>
        <v>Mitarbeiter</v>
      </c>
      <c r="F7" s="10" t="str">
        <f>IFERROR(VLOOKUP(D7,Mitarbeiter!$C$6:$I$13,3,FALSE),"")</f>
        <v>Service</v>
      </c>
      <c r="G7" s="3" t="s">
        <v>7</v>
      </c>
      <c r="H7" s="17">
        <v>0.375</v>
      </c>
      <c r="I7" s="17">
        <v>0.58333333333333337</v>
      </c>
      <c r="J7" s="18">
        <v>0</v>
      </c>
      <c r="K7" s="11">
        <f t="shared" si="2"/>
        <v>5</v>
      </c>
      <c r="L7" s="11">
        <f>IFERROR(VLOOKUP(D7,Mitarbeiter!$C$6:$I$13,6,FALSE),0)</f>
        <v>5</v>
      </c>
      <c r="M7" s="11">
        <f t="shared" si="3"/>
        <v>0</v>
      </c>
      <c r="N7" s="12">
        <f>IFERROR(VLOOKUP(D7,Mitarbeiter!$C$6:$I$13,7,FALSE),0)</f>
        <v>17.8</v>
      </c>
      <c r="O7" s="12">
        <f t="shared" si="4"/>
        <v>89</v>
      </c>
      <c r="P7" s="3"/>
      <c r="Q7" s="3" t="s">
        <v>38</v>
      </c>
      <c r="R7" s="10" t="str">
        <f t="shared" si="5"/>
        <v>OK</v>
      </c>
      <c r="S7" s="19"/>
    </row>
    <row r="8" spans="1:19" ht="18" customHeight="1" x14ac:dyDescent="0.25">
      <c r="A8" s="16">
        <v>46083</v>
      </c>
      <c r="B8" s="10" t="str">
        <f t="shared" si="0"/>
        <v>lunes</v>
      </c>
      <c r="C8" s="14" t="e">
        <f t="shared" ca="1" si="1"/>
        <v>#NAME?</v>
      </c>
      <c r="D8" s="3" t="s">
        <v>80</v>
      </c>
      <c r="E8" s="10" t="str">
        <f>IFERROR(VLOOKUP(D8,Mitarbeiter!$C$6:$I$13,2,FALSE),"")</f>
        <v>Teamleitung</v>
      </c>
      <c r="F8" s="10" t="str">
        <f>IFERROR(VLOOKUP(D8,Mitarbeiter!$C$6:$I$13,3,FALSE),"")</f>
        <v>Verkauf</v>
      </c>
      <c r="G8" s="3" t="s">
        <v>3</v>
      </c>
      <c r="H8" s="17">
        <v>0.25</v>
      </c>
      <c r="I8" s="17">
        <v>0.58333333333333337</v>
      </c>
      <c r="J8" s="18">
        <v>30</v>
      </c>
      <c r="K8" s="11">
        <f t="shared" si="2"/>
        <v>7.5</v>
      </c>
      <c r="L8" s="11">
        <f>IFERROR(VLOOKUP(D8,Mitarbeiter!$C$6:$I$13,6,FALSE),0)</f>
        <v>8</v>
      </c>
      <c r="M8" s="11">
        <f t="shared" si="3"/>
        <v>-0.5</v>
      </c>
      <c r="N8" s="12">
        <f>IFERROR(VLOOKUP(D8,Mitarbeiter!$C$6:$I$13,7,FALSE),0)</f>
        <v>24.5</v>
      </c>
      <c r="O8" s="12">
        <f t="shared" si="4"/>
        <v>183.75</v>
      </c>
      <c r="P8" s="3"/>
      <c r="Q8" s="3" t="s">
        <v>38</v>
      </c>
      <c r="R8" s="10" t="str">
        <f t="shared" si="5"/>
        <v>OK</v>
      </c>
      <c r="S8" s="19"/>
    </row>
    <row r="9" spans="1:19" ht="18" customHeight="1" x14ac:dyDescent="0.25">
      <c r="A9" s="16">
        <v>46083</v>
      </c>
      <c r="B9" s="10" t="str">
        <f t="shared" si="0"/>
        <v>lunes</v>
      </c>
      <c r="C9" s="14" t="e">
        <f t="shared" ca="1" si="1"/>
        <v>#NAME?</v>
      </c>
      <c r="D9" s="3" t="s">
        <v>85</v>
      </c>
      <c r="E9" s="10" t="str">
        <f>IFERROR(VLOOKUP(D9,Mitarbeiter!$C$6:$I$13,2,FALSE),"")</f>
        <v>Mitarbeiter</v>
      </c>
      <c r="F9" s="10" t="str">
        <f>IFERROR(VLOOKUP(D9,Mitarbeiter!$C$6:$I$13,3,FALSE),"")</f>
        <v>Verkauf</v>
      </c>
      <c r="G9" s="3" t="s">
        <v>3</v>
      </c>
      <c r="H9" s="17">
        <v>0.25</v>
      </c>
      <c r="I9" s="17">
        <v>0.58333333333333337</v>
      </c>
      <c r="J9" s="18">
        <v>30</v>
      </c>
      <c r="K9" s="11">
        <f t="shared" si="2"/>
        <v>7.5</v>
      </c>
      <c r="L9" s="11">
        <f>IFERROR(VLOOKUP(D9,Mitarbeiter!$C$6:$I$13,6,FALSE),0)</f>
        <v>8</v>
      </c>
      <c r="M9" s="11">
        <f t="shared" si="3"/>
        <v>-0.5</v>
      </c>
      <c r="N9" s="12">
        <f>IFERROR(VLOOKUP(D9,Mitarbeiter!$C$6:$I$13,7,FALSE),0)</f>
        <v>18.5</v>
      </c>
      <c r="O9" s="12">
        <f t="shared" si="4"/>
        <v>138.75</v>
      </c>
      <c r="P9" s="3"/>
      <c r="Q9" s="3" t="s">
        <v>38</v>
      </c>
      <c r="R9" s="10" t="str">
        <f t="shared" si="5"/>
        <v>OK</v>
      </c>
      <c r="S9" s="19"/>
    </row>
    <row r="10" spans="1:19" ht="18" customHeight="1" x14ac:dyDescent="0.25">
      <c r="A10" s="16">
        <v>46083</v>
      </c>
      <c r="B10" s="10" t="str">
        <f t="shared" si="0"/>
        <v>lunes</v>
      </c>
      <c r="C10" s="14" t="e">
        <f t="shared" ca="1" si="1"/>
        <v>#NAME?</v>
      </c>
      <c r="D10" s="3" t="s">
        <v>94</v>
      </c>
      <c r="E10" s="10" t="str">
        <f>IFERROR(VLOOKUP(D10,Mitarbeiter!$C$6:$I$13,2,FALSE),"")</f>
        <v>Mitarbeiter</v>
      </c>
      <c r="F10" s="10" t="str">
        <f>IFERROR(VLOOKUP(D10,Mitarbeiter!$C$6:$I$13,3,FALSE),"")</f>
        <v>Lager</v>
      </c>
      <c r="G10" s="3" t="s">
        <v>4</v>
      </c>
      <c r="H10" s="17">
        <v>0.58333333333333337</v>
      </c>
      <c r="I10" s="17">
        <v>0.91666666666666663</v>
      </c>
      <c r="J10" s="18">
        <v>30</v>
      </c>
      <c r="K10" s="11">
        <f t="shared" si="2"/>
        <v>7.5</v>
      </c>
      <c r="L10" s="11">
        <f>IFERROR(VLOOKUP(D10,Mitarbeiter!$C$6:$I$13,6,FALSE),0)</f>
        <v>8</v>
      </c>
      <c r="M10" s="11">
        <f t="shared" si="3"/>
        <v>-0.5</v>
      </c>
      <c r="N10" s="12">
        <f>IFERROR(VLOOKUP(D10,Mitarbeiter!$C$6:$I$13,7,FALSE),0)</f>
        <v>19.2</v>
      </c>
      <c r="O10" s="12">
        <f t="shared" si="4"/>
        <v>144</v>
      </c>
      <c r="P10" s="3"/>
      <c r="Q10" s="3" t="s">
        <v>38</v>
      </c>
      <c r="R10" s="10" t="str">
        <f t="shared" si="5"/>
        <v>OK</v>
      </c>
      <c r="S10" s="19"/>
    </row>
    <row r="11" spans="1:19" ht="18" customHeight="1" x14ac:dyDescent="0.25">
      <c r="A11" s="16">
        <v>46083</v>
      </c>
      <c r="B11" s="10" t="str">
        <f t="shared" si="0"/>
        <v>lunes</v>
      </c>
      <c r="C11" s="14" t="e">
        <f t="shared" ca="1" si="1"/>
        <v>#NAME?</v>
      </c>
      <c r="D11" s="3" t="s">
        <v>98</v>
      </c>
      <c r="E11" s="10" t="str">
        <f>IFERROR(VLOOKUP(D11,Mitarbeiter!$C$6:$I$13,2,FALSE),"")</f>
        <v>Verwaltung</v>
      </c>
      <c r="F11" s="10" t="str">
        <f>IFERROR(VLOOKUP(D11,Mitarbeiter!$C$6:$I$13,3,FALSE),"")</f>
        <v>Büro</v>
      </c>
      <c r="G11" s="3" t="s">
        <v>6</v>
      </c>
      <c r="H11" s="17">
        <v>0.375</v>
      </c>
      <c r="I11" s="17">
        <v>0.70833333333333337</v>
      </c>
      <c r="J11" s="18">
        <v>60</v>
      </c>
      <c r="K11" s="11">
        <f t="shared" si="2"/>
        <v>7</v>
      </c>
      <c r="L11" s="11">
        <f>IFERROR(VLOOKUP(D11,Mitarbeiter!$C$6:$I$13,6,FALSE),0)</f>
        <v>7.6</v>
      </c>
      <c r="M11" s="11">
        <f t="shared" si="3"/>
        <v>-0.59999999999999964</v>
      </c>
      <c r="N11" s="12">
        <f>IFERROR(VLOOKUP(D11,Mitarbeiter!$C$6:$I$13,7,FALSE),0)</f>
        <v>22</v>
      </c>
      <c r="O11" s="12">
        <f t="shared" si="4"/>
        <v>154</v>
      </c>
      <c r="P11" s="3"/>
      <c r="Q11" s="3" t="s">
        <v>38</v>
      </c>
      <c r="R11" s="10" t="str">
        <f t="shared" si="5"/>
        <v>OK</v>
      </c>
      <c r="S11" s="19"/>
    </row>
    <row r="12" spans="1:19" ht="18" customHeight="1" x14ac:dyDescent="0.25">
      <c r="A12" s="16">
        <v>46083</v>
      </c>
      <c r="B12" s="10" t="str">
        <f t="shared" si="0"/>
        <v>lunes</v>
      </c>
      <c r="C12" s="14" t="e">
        <f t="shared" ca="1" si="1"/>
        <v>#NAME?</v>
      </c>
      <c r="D12" s="3" t="s">
        <v>112</v>
      </c>
      <c r="E12" s="10" t="str">
        <f>IFERROR(VLOOKUP(D12,Mitarbeiter!$C$6:$I$13,2,FALSE),"")</f>
        <v>Mitarbeiter</v>
      </c>
      <c r="F12" s="10" t="str">
        <f>IFERROR(VLOOKUP(D12,Mitarbeiter!$C$6:$I$13,3,FALSE),"")</f>
        <v>Produktion</v>
      </c>
      <c r="G12" s="3" t="s">
        <v>3</v>
      </c>
      <c r="H12" s="17">
        <v>0.25</v>
      </c>
      <c r="I12" s="17">
        <v>0.58333333333333337</v>
      </c>
      <c r="J12" s="18">
        <v>30</v>
      </c>
      <c r="K12" s="11">
        <f t="shared" si="2"/>
        <v>7.5</v>
      </c>
      <c r="L12" s="11">
        <f>IFERROR(VLOOKUP(D12,Mitarbeiter!$C$6:$I$13,6,FALSE),0)</f>
        <v>8</v>
      </c>
      <c r="M12" s="11">
        <f t="shared" si="3"/>
        <v>-0.5</v>
      </c>
      <c r="N12" s="12">
        <f>IFERROR(VLOOKUP(D12,Mitarbeiter!$C$6:$I$13,7,FALSE),0)</f>
        <v>19.8</v>
      </c>
      <c r="O12" s="12">
        <f t="shared" si="4"/>
        <v>148.5</v>
      </c>
      <c r="P12" s="3"/>
      <c r="Q12" s="3" t="s">
        <v>38</v>
      </c>
      <c r="R12" s="10" t="str">
        <f t="shared" si="5"/>
        <v>OK</v>
      </c>
      <c r="S12" s="19"/>
    </row>
    <row r="13" spans="1:19" ht="18" customHeight="1" x14ac:dyDescent="0.25">
      <c r="A13" s="16">
        <v>46083</v>
      </c>
      <c r="B13" s="10" t="str">
        <f t="shared" si="0"/>
        <v>lunes</v>
      </c>
      <c r="C13" s="14" t="e">
        <f t="shared" ca="1" si="1"/>
        <v>#NAME?</v>
      </c>
      <c r="D13" s="3" t="s">
        <v>108</v>
      </c>
      <c r="E13" s="10" t="str">
        <f>IFERROR(VLOOKUP(D13,Mitarbeiter!$C$6:$I$13,2,FALSE),"")</f>
        <v>Mitarbeiter</v>
      </c>
      <c r="F13" s="10" t="str">
        <f>IFERROR(VLOOKUP(D13,Mitarbeiter!$C$6:$I$13,3,FALSE),"")</f>
        <v>Pflege</v>
      </c>
      <c r="G13" s="3" t="s">
        <v>3</v>
      </c>
      <c r="H13" s="17">
        <v>0.29166666666666669</v>
      </c>
      <c r="I13" s="17">
        <v>0.54166666666666663</v>
      </c>
      <c r="J13" s="18">
        <v>30</v>
      </c>
      <c r="K13" s="11">
        <f t="shared" si="2"/>
        <v>5.5</v>
      </c>
      <c r="L13" s="11">
        <f>IFERROR(VLOOKUP(D13,Mitarbeiter!$C$6:$I$13,6,FALSE),0)</f>
        <v>6</v>
      </c>
      <c r="M13" s="11">
        <f t="shared" si="3"/>
        <v>-0.5</v>
      </c>
      <c r="N13" s="12">
        <f>IFERROR(VLOOKUP(D13,Mitarbeiter!$C$6:$I$13,7,FALSE),0)</f>
        <v>20.5</v>
      </c>
      <c r="O13" s="12">
        <f t="shared" si="4"/>
        <v>112.75</v>
      </c>
      <c r="P13" s="3"/>
      <c r="Q13" s="3" t="s">
        <v>38</v>
      </c>
      <c r="R13" s="10" t="str">
        <f t="shared" si="5"/>
        <v>OK</v>
      </c>
      <c r="S13" s="19"/>
    </row>
    <row r="14" spans="1:19" ht="18" customHeight="1" x14ac:dyDescent="0.25">
      <c r="A14" s="16">
        <v>46084</v>
      </c>
      <c r="B14" s="10" t="str">
        <f t="shared" si="0"/>
        <v>martes</v>
      </c>
      <c r="C14" s="14" t="e">
        <f t="shared" ca="1" si="1"/>
        <v>#NAME?</v>
      </c>
      <c r="D14" s="3" t="s">
        <v>80</v>
      </c>
      <c r="E14" s="10" t="str">
        <f>IFERROR(VLOOKUP(D14,Mitarbeiter!$C$6:$I$13,2,FALSE),"")</f>
        <v>Teamleitung</v>
      </c>
      <c r="F14" s="10" t="str">
        <f>IFERROR(VLOOKUP(D14,Mitarbeiter!$C$6:$I$13,3,FALSE),"")</f>
        <v>Verkauf</v>
      </c>
      <c r="G14" s="3" t="s">
        <v>3</v>
      </c>
      <c r="H14" s="17">
        <v>0.25</v>
      </c>
      <c r="I14" s="17">
        <v>0.58333333333333337</v>
      </c>
      <c r="J14" s="18">
        <v>30</v>
      </c>
      <c r="K14" s="11">
        <f t="shared" si="2"/>
        <v>7.5</v>
      </c>
      <c r="L14" s="11">
        <f>IFERROR(VLOOKUP(D14,Mitarbeiter!$C$6:$I$13,6,FALSE),0)</f>
        <v>8</v>
      </c>
      <c r="M14" s="11">
        <f t="shared" si="3"/>
        <v>-0.5</v>
      </c>
      <c r="N14" s="12">
        <f>IFERROR(VLOOKUP(D14,Mitarbeiter!$C$6:$I$13,7,FALSE),0)</f>
        <v>24.5</v>
      </c>
      <c r="O14" s="12">
        <f t="shared" si="4"/>
        <v>183.75</v>
      </c>
      <c r="P14" s="3"/>
      <c r="Q14" s="3" t="s">
        <v>38</v>
      </c>
      <c r="R14" s="10" t="str">
        <f t="shared" si="5"/>
        <v>OK</v>
      </c>
      <c r="S14" s="19"/>
    </row>
    <row r="15" spans="1:19" ht="18" customHeight="1" x14ac:dyDescent="0.25">
      <c r="A15" s="16">
        <v>46084</v>
      </c>
      <c r="B15" s="10" t="str">
        <f t="shared" si="0"/>
        <v>martes</v>
      </c>
      <c r="C15" s="14" t="e">
        <f t="shared" ca="1" si="1"/>
        <v>#NAME?</v>
      </c>
      <c r="D15" s="3" t="s">
        <v>85</v>
      </c>
      <c r="E15" s="10" t="str">
        <f>IFERROR(VLOOKUP(D15,Mitarbeiter!$C$6:$I$13,2,FALSE),"")</f>
        <v>Mitarbeiter</v>
      </c>
      <c r="F15" s="10" t="str">
        <f>IFERROR(VLOOKUP(D15,Mitarbeiter!$C$6:$I$13,3,FALSE),"")</f>
        <v>Verkauf</v>
      </c>
      <c r="G15" s="3" t="s">
        <v>3</v>
      </c>
      <c r="H15" s="17">
        <v>0.25</v>
      </c>
      <c r="I15" s="17">
        <v>0.58333333333333337</v>
      </c>
      <c r="J15" s="18">
        <v>30</v>
      </c>
      <c r="K15" s="11">
        <f t="shared" si="2"/>
        <v>7.5</v>
      </c>
      <c r="L15" s="11">
        <f>IFERROR(VLOOKUP(D15,Mitarbeiter!$C$6:$I$13,6,FALSE),0)</f>
        <v>8</v>
      </c>
      <c r="M15" s="11">
        <f t="shared" si="3"/>
        <v>-0.5</v>
      </c>
      <c r="N15" s="12">
        <f>IFERROR(VLOOKUP(D15,Mitarbeiter!$C$6:$I$13,7,FALSE),0)</f>
        <v>18.5</v>
      </c>
      <c r="O15" s="12">
        <f t="shared" si="4"/>
        <v>138.75</v>
      </c>
      <c r="P15" s="3"/>
      <c r="Q15" s="3" t="s">
        <v>38</v>
      </c>
      <c r="R15" s="10" t="str">
        <f t="shared" si="5"/>
        <v>OK</v>
      </c>
      <c r="S15" s="19"/>
    </row>
    <row r="16" spans="1:19" ht="18" customHeight="1" x14ac:dyDescent="0.25">
      <c r="A16" s="16">
        <v>46084</v>
      </c>
      <c r="B16" s="10" t="str">
        <f t="shared" si="0"/>
        <v>martes</v>
      </c>
      <c r="C16" s="14" t="e">
        <f t="shared" ca="1" si="1"/>
        <v>#NAME?</v>
      </c>
      <c r="D16" s="3" t="s">
        <v>94</v>
      </c>
      <c r="E16" s="10" t="str">
        <f>IFERROR(VLOOKUP(D16,Mitarbeiter!$C$6:$I$13,2,FALSE),"")</f>
        <v>Mitarbeiter</v>
      </c>
      <c r="F16" s="10" t="str">
        <f>IFERROR(VLOOKUP(D16,Mitarbeiter!$C$6:$I$13,3,FALSE),"")</f>
        <v>Lager</v>
      </c>
      <c r="G16" s="3" t="s">
        <v>4</v>
      </c>
      <c r="H16" s="17">
        <v>0.58333333333333337</v>
      </c>
      <c r="I16" s="17">
        <v>0.91666666666666663</v>
      </c>
      <c r="J16" s="18">
        <v>30</v>
      </c>
      <c r="K16" s="11">
        <f t="shared" si="2"/>
        <v>7.5</v>
      </c>
      <c r="L16" s="11">
        <f>IFERROR(VLOOKUP(D16,Mitarbeiter!$C$6:$I$13,6,FALSE),0)</f>
        <v>8</v>
      </c>
      <c r="M16" s="11">
        <f t="shared" si="3"/>
        <v>-0.5</v>
      </c>
      <c r="N16" s="12">
        <f>IFERROR(VLOOKUP(D16,Mitarbeiter!$C$6:$I$13,7,FALSE),0)</f>
        <v>19.2</v>
      </c>
      <c r="O16" s="12">
        <f t="shared" si="4"/>
        <v>144</v>
      </c>
      <c r="P16" s="3"/>
      <c r="Q16" s="3" t="s">
        <v>38</v>
      </c>
      <c r="R16" s="10" t="str">
        <f t="shared" si="5"/>
        <v>OK</v>
      </c>
      <c r="S16" s="19"/>
    </row>
    <row r="17" spans="1:19" ht="18" customHeight="1" x14ac:dyDescent="0.25">
      <c r="A17" s="16">
        <v>46084</v>
      </c>
      <c r="B17" s="10" t="str">
        <f t="shared" si="0"/>
        <v>martes</v>
      </c>
      <c r="C17" s="14" t="e">
        <f t="shared" ca="1" si="1"/>
        <v>#NAME?</v>
      </c>
      <c r="D17" s="3" t="s">
        <v>98</v>
      </c>
      <c r="E17" s="10" t="str">
        <f>IFERROR(VLOOKUP(D17,Mitarbeiter!$C$6:$I$13,2,FALSE),"")</f>
        <v>Verwaltung</v>
      </c>
      <c r="F17" s="10" t="str">
        <f>IFERROR(VLOOKUP(D17,Mitarbeiter!$C$6:$I$13,3,FALSE),"")</f>
        <v>Büro</v>
      </c>
      <c r="G17" s="3" t="s">
        <v>6</v>
      </c>
      <c r="H17" s="17">
        <v>0.375</v>
      </c>
      <c r="I17" s="17">
        <v>0.70833333333333337</v>
      </c>
      <c r="J17" s="18">
        <v>60</v>
      </c>
      <c r="K17" s="11">
        <f t="shared" si="2"/>
        <v>7</v>
      </c>
      <c r="L17" s="11">
        <f>IFERROR(VLOOKUP(D17,Mitarbeiter!$C$6:$I$13,6,FALSE),0)</f>
        <v>7.6</v>
      </c>
      <c r="M17" s="11">
        <f t="shared" si="3"/>
        <v>-0.59999999999999964</v>
      </c>
      <c r="N17" s="12">
        <f>IFERROR(VLOOKUP(D17,Mitarbeiter!$C$6:$I$13,7,FALSE),0)</f>
        <v>22</v>
      </c>
      <c r="O17" s="12">
        <f t="shared" si="4"/>
        <v>154</v>
      </c>
      <c r="P17" s="3"/>
      <c r="Q17" s="3" t="s">
        <v>38</v>
      </c>
      <c r="R17" s="10" t="str">
        <f t="shared" si="5"/>
        <v>OK</v>
      </c>
      <c r="S17" s="19"/>
    </row>
    <row r="18" spans="1:19" ht="18" customHeight="1" x14ac:dyDescent="0.25">
      <c r="A18" s="16">
        <v>46084</v>
      </c>
      <c r="B18" s="10" t="str">
        <f t="shared" si="0"/>
        <v>martes</v>
      </c>
      <c r="C18" s="14" t="e">
        <f t="shared" ca="1" si="1"/>
        <v>#NAME?</v>
      </c>
      <c r="D18" s="3" t="s">
        <v>112</v>
      </c>
      <c r="E18" s="10" t="str">
        <f>IFERROR(VLOOKUP(D18,Mitarbeiter!$C$6:$I$13,2,FALSE),"")</f>
        <v>Mitarbeiter</v>
      </c>
      <c r="F18" s="10" t="str">
        <f>IFERROR(VLOOKUP(D18,Mitarbeiter!$C$6:$I$13,3,FALSE),"")</f>
        <v>Produktion</v>
      </c>
      <c r="G18" s="3" t="s">
        <v>5</v>
      </c>
      <c r="H18" s="17">
        <v>0.91666666666666663</v>
      </c>
      <c r="I18" s="17">
        <v>0.25</v>
      </c>
      <c r="J18" s="18">
        <v>45</v>
      </c>
      <c r="K18" s="11">
        <f t="shared" si="2"/>
        <v>7.25</v>
      </c>
      <c r="L18" s="11">
        <f>IFERROR(VLOOKUP(D18,Mitarbeiter!$C$6:$I$13,6,FALSE),0)</f>
        <v>8</v>
      </c>
      <c r="M18" s="11">
        <f t="shared" si="3"/>
        <v>-0.75</v>
      </c>
      <c r="N18" s="12">
        <f>IFERROR(VLOOKUP(D18,Mitarbeiter!$C$6:$I$13,7,FALSE),0)</f>
        <v>19.8</v>
      </c>
      <c r="O18" s="12">
        <f t="shared" si="4"/>
        <v>143.55000000000001</v>
      </c>
      <c r="P18" s="3"/>
      <c r="Q18" s="3" t="s">
        <v>38</v>
      </c>
      <c r="R18" s="10" t="str">
        <f t="shared" si="5"/>
        <v>OK</v>
      </c>
      <c r="S18" s="19"/>
    </row>
    <row r="19" spans="1:19" ht="18" customHeight="1" x14ac:dyDescent="0.25">
      <c r="A19" s="16">
        <v>46084</v>
      </c>
      <c r="B19" s="10" t="str">
        <f t="shared" si="0"/>
        <v>martes</v>
      </c>
      <c r="C19" s="14" t="e">
        <f t="shared" ca="1" si="1"/>
        <v>#NAME?</v>
      </c>
      <c r="D19" s="3" t="s">
        <v>89</v>
      </c>
      <c r="E19" s="10" t="str">
        <f>IFERROR(VLOOKUP(D19,Mitarbeiter!$C$6:$I$13,2,FALSE),"")</f>
        <v>Mitarbeiter</v>
      </c>
      <c r="F19" s="10" t="str">
        <f>IFERROR(VLOOKUP(D19,Mitarbeiter!$C$6:$I$13,3,FALSE),"")</f>
        <v>Service</v>
      </c>
      <c r="G19" s="3" t="s">
        <v>7</v>
      </c>
      <c r="H19" s="17">
        <v>0.375</v>
      </c>
      <c r="I19" s="17">
        <v>0.58333333333333337</v>
      </c>
      <c r="J19" s="18">
        <v>0</v>
      </c>
      <c r="K19" s="11">
        <f t="shared" si="2"/>
        <v>5</v>
      </c>
      <c r="L19" s="11">
        <f>IFERROR(VLOOKUP(D19,Mitarbeiter!$C$6:$I$13,6,FALSE),0)</f>
        <v>5</v>
      </c>
      <c r="M19" s="11">
        <f t="shared" si="3"/>
        <v>0</v>
      </c>
      <c r="N19" s="12">
        <f>IFERROR(VLOOKUP(D19,Mitarbeiter!$C$6:$I$13,7,FALSE),0)</f>
        <v>17.8</v>
      </c>
      <c r="O19" s="12">
        <f t="shared" si="4"/>
        <v>89</v>
      </c>
      <c r="P19" s="3"/>
      <c r="Q19" s="3" t="s">
        <v>38</v>
      </c>
      <c r="R19" s="10" t="str">
        <f t="shared" si="5"/>
        <v>OK</v>
      </c>
      <c r="S19" s="19"/>
    </row>
    <row r="20" spans="1:19" ht="18" customHeight="1" x14ac:dyDescent="0.25">
      <c r="A20" s="16">
        <v>46085</v>
      </c>
      <c r="B20" s="10" t="str">
        <f t="shared" si="0"/>
        <v>miércoles</v>
      </c>
      <c r="C20" s="14" t="e">
        <f t="shared" ca="1" si="1"/>
        <v>#NAME?</v>
      </c>
      <c r="D20" s="3" t="s">
        <v>80</v>
      </c>
      <c r="E20" s="10" t="str">
        <f>IFERROR(VLOOKUP(D20,Mitarbeiter!$C$6:$I$13,2,FALSE),"")</f>
        <v>Teamleitung</v>
      </c>
      <c r="F20" s="10" t="str">
        <f>IFERROR(VLOOKUP(D20,Mitarbeiter!$C$6:$I$13,3,FALSE),"")</f>
        <v>Verkauf</v>
      </c>
      <c r="G20" s="3" t="s">
        <v>3</v>
      </c>
      <c r="H20" s="17">
        <v>0.25</v>
      </c>
      <c r="I20" s="17">
        <v>0.58333333333333337</v>
      </c>
      <c r="J20" s="18">
        <v>30</v>
      </c>
      <c r="K20" s="11">
        <f t="shared" si="2"/>
        <v>7.5</v>
      </c>
      <c r="L20" s="11">
        <f>IFERROR(VLOOKUP(D20,Mitarbeiter!$C$6:$I$13,6,FALSE),0)</f>
        <v>8</v>
      </c>
      <c r="M20" s="11">
        <f t="shared" si="3"/>
        <v>-0.5</v>
      </c>
      <c r="N20" s="12">
        <f>IFERROR(VLOOKUP(D20,Mitarbeiter!$C$6:$I$13,7,FALSE),0)</f>
        <v>24.5</v>
      </c>
      <c r="O20" s="12">
        <f t="shared" si="4"/>
        <v>183.75</v>
      </c>
      <c r="P20" s="3"/>
      <c r="Q20" s="3" t="s">
        <v>38</v>
      </c>
      <c r="R20" s="10" t="str">
        <f t="shared" si="5"/>
        <v>OK</v>
      </c>
      <c r="S20" s="19"/>
    </row>
    <row r="21" spans="1:19" ht="18" customHeight="1" x14ac:dyDescent="0.25">
      <c r="A21" s="16">
        <v>46085</v>
      </c>
      <c r="B21" s="10" t="str">
        <f t="shared" si="0"/>
        <v>miércoles</v>
      </c>
      <c r="C21" s="14" t="e">
        <f t="shared" ca="1" si="1"/>
        <v>#NAME?</v>
      </c>
      <c r="D21" s="3" t="s">
        <v>85</v>
      </c>
      <c r="E21" s="10" t="str">
        <f>IFERROR(VLOOKUP(D21,Mitarbeiter!$C$6:$I$13,2,FALSE),"")</f>
        <v>Mitarbeiter</v>
      </c>
      <c r="F21" s="10" t="str">
        <f>IFERROR(VLOOKUP(D21,Mitarbeiter!$C$6:$I$13,3,FALSE),"")</f>
        <v>Verkauf</v>
      </c>
      <c r="G21" s="3" t="s">
        <v>3</v>
      </c>
      <c r="H21" s="17">
        <v>0.25</v>
      </c>
      <c r="I21" s="17">
        <v>0.58333333333333337</v>
      </c>
      <c r="J21" s="18">
        <v>30</v>
      </c>
      <c r="K21" s="11">
        <f t="shared" si="2"/>
        <v>7.5</v>
      </c>
      <c r="L21" s="11">
        <f>IFERROR(VLOOKUP(D21,Mitarbeiter!$C$6:$I$13,6,FALSE),0)</f>
        <v>8</v>
      </c>
      <c r="M21" s="11">
        <f t="shared" si="3"/>
        <v>-0.5</v>
      </c>
      <c r="N21" s="12">
        <f>IFERROR(VLOOKUP(D21,Mitarbeiter!$C$6:$I$13,7,FALSE),0)</f>
        <v>18.5</v>
      </c>
      <c r="O21" s="12">
        <f t="shared" si="4"/>
        <v>138.75</v>
      </c>
      <c r="P21" s="3"/>
      <c r="Q21" s="3" t="s">
        <v>38</v>
      </c>
      <c r="R21" s="10" t="str">
        <f t="shared" si="5"/>
        <v>OK</v>
      </c>
      <c r="S21" s="19"/>
    </row>
    <row r="22" spans="1:19" ht="18" customHeight="1" x14ac:dyDescent="0.25">
      <c r="A22" s="16">
        <v>46085</v>
      </c>
      <c r="B22" s="10" t="str">
        <f t="shared" si="0"/>
        <v>miércoles</v>
      </c>
      <c r="C22" s="14" t="e">
        <f t="shared" ca="1" si="1"/>
        <v>#NAME?</v>
      </c>
      <c r="D22" s="3" t="s">
        <v>94</v>
      </c>
      <c r="E22" s="10" t="str">
        <f>IFERROR(VLOOKUP(D22,Mitarbeiter!$C$6:$I$13,2,FALSE),"")</f>
        <v>Mitarbeiter</v>
      </c>
      <c r="F22" s="10" t="str">
        <f>IFERROR(VLOOKUP(D22,Mitarbeiter!$C$6:$I$13,3,FALSE),"")</f>
        <v>Lager</v>
      </c>
      <c r="G22" s="3" t="s">
        <v>4</v>
      </c>
      <c r="H22" s="17">
        <v>0.58333333333333337</v>
      </c>
      <c r="I22" s="17">
        <v>0.91666666666666663</v>
      </c>
      <c r="J22" s="18">
        <v>30</v>
      </c>
      <c r="K22" s="11">
        <f t="shared" si="2"/>
        <v>7.5</v>
      </c>
      <c r="L22" s="11">
        <f>IFERROR(VLOOKUP(D22,Mitarbeiter!$C$6:$I$13,6,FALSE),0)</f>
        <v>8</v>
      </c>
      <c r="M22" s="11">
        <f t="shared" si="3"/>
        <v>-0.5</v>
      </c>
      <c r="N22" s="12">
        <f>IFERROR(VLOOKUP(D22,Mitarbeiter!$C$6:$I$13,7,FALSE),0)</f>
        <v>19.2</v>
      </c>
      <c r="O22" s="12">
        <f t="shared" si="4"/>
        <v>144</v>
      </c>
      <c r="P22" s="3"/>
      <c r="Q22" s="3" t="s">
        <v>38</v>
      </c>
      <c r="R22" s="10" t="str">
        <f t="shared" si="5"/>
        <v>OK</v>
      </c>
      <c r="S22" s="19"/>
    </row>
    <row r="23" spans="1:19" ht="18" customHeight="1" x14ac:dyDescent="0.25">
      <c r="A23" s="16">
        <v>46085</v>
      </c>
      <c r="B23" s="10" t="str">
        <f t="shared" si="0"/>
        <v>miércoles</v>
      </c>
      <c r="C23" s="14" t="e">
        <f t="shared" ca="1" si="1"/>
        <v>#NAME?</v>
      </c>
      <c r="D23" s="3" t="s">
        <v>98</v>
      </c>
      <c r="E23" s="10" t="str">
        <f>IFERROR(VLOOKUP(D23,Mitarbeiter!$C$6:$I$13,2,FALSE),"")</f>
        <v>Verwaltung</v>
      </c>
      <c r="F23" s="10" t="str">
        <f>IFERROR(VLOOKUP(D23,Mitarbeiter!$C$6:$I$13,3,FALSE),"")</f>
        <v>Büro</v>
      </c>
      <c r="G23" s="3" t="s">
        <v>6</v>
      </c>
      <c r="H23" s="17">
        <v>0.375</v>
      </c>
      <c r="I23" s="17">
        <v>0.70833333333333337</v>
      </c>
      <c r="J23" s="18">
        <v>60</v>
      </c>
      <c r="K23" s="11">
        <f t="shared" si="2"/>
        <v>7</v>
      </c>
      <c r="L23" s="11">
        <f>IFERROR(VLOOKUP(D23,Mitarbeiter!$C$6:$I$13,6,FALSE),0)</f>
        <v>7.6</v>
      </c>
      <c r="M23" s="11">
        <f t="shared" si="3"/>
        <v>-0.59999999999999964</v>
      </c>
      <c r="N23" s="12">
        <f>IFERROR(VLOOKUP(D23,Mitarbeiter!$C$6:$I$13,7,FALSE),0)</f>
        <v>22</v>
      </c>
      <c r="O23" s="12">
        <f t="shared" si="4"/>
        <v>154</v>
      </c>
      <c r="P23" s="3"/>
      <c r="Q23" s="3" t="s">
        <v>38</v>
      </c>
      <c r="R23" s="10" t="str">
        <f t="shared" si="5"/>
        <v>OK</v>
      </c>
      <c r="S23" s="19"/>
    </row>
    <row r="24" spans="1:19" ht="18" customHeight="1" x14ac:dyDescent="0.25">
      <c r="A24" s="16">
        <v>46085</v>
      </c>
      <c r="B24" s="10" t="str">
        <f t="shared" si="0"/>
        <v>miércoles</v>
      </c>
      <c r="C24" s="14" t="e">
        <f t="shared" ca="1" si="1"/>
        <v>#NAME?</v>
      </c>
      <c r="D24" s="3" t="s">
        <v>112</v>
      </c>
      <c r="E24" s="10" t="str">
        <f>IFERROR(VLOOKUP(D24,Mitarbeiter!$C$6:$I$13,2,FALSE),"")</f>
        <v>Mitarbeiter</v>
      </c>
      <c r="F24" s="10" t="str">
        <f>IFERROR(VLOOKUP(D24,Mitarbeiter!$C$6:$I$13,3,FALSE),"")</f>
        <v>Produktion</v>
      </c>
      <c r="G24" s="3" t="s">
        <v>3</v>
      </c>
      <c r="H24" s="17">
        <v>0.25</v>
      </c>
      <c r="I24" s="17">
        <v>0.58333333333333337</v>
      </c>
      <c r="J24" s="18">
        <v>30</v>
      </c>
      <c r="K24" s="11">
        <f t="shared" si="2"/>
        <v>7.5</v>
      </c>
      <c r="L24" s="11">
        <f>IFERROR(VLOOKUP(D24,Mitarbeiter!$C$6:$I$13,6,FALSE),0)</f>
        <v>8</v>
      </c>
      <c r="M24" s="11">
        <f t="shared" si="3"/>
        <v>-0.5</v>
      </c>
      <c r="N24" s="12">
        <f>IFERROR(VLOOKUP(D24,Mitarbeiter!$C$6:$I$13,7,FALSE),0)</f>
        <v>19.8</v>
      </c>
      <c r="O24" s="12">
        <f t="shared" si="4"/>
        <v>148.5</v>
      </c>
      <c r="P24" s="3"/>
      <c r="Q24" s="3" t="s">
        <v>38</v>
      </c>
      <c r="R24" s="10" t="str">
        <f t="shared" si="5"/>
        <v>OK</v>
      </c>
      <c r="S24" s="19"/>
    </row>
    <row r="25" spans="1:19" ht="18" customHeight="1" x14ac:dyDescent="0.25">
      <c r="A25" s="16">
        <v>46085</v>
      </c>
      <c r="B25" s="10" t="str">
        <f t="shared" si="0"/>
        <v>miércoles</v>
      </c>
      <c r="C25" s="14" t="e">
        <f t="shared" ca="1" si="1"/>
        <v>#NAME?</v>
      </c>
      <c r="D25" s="3" t="s">
        <v>108</v>
      </c>
      <c r="E25" s="10" t="str">
        <f>IFERROR(VLOOKUP(D25,Mitarbeiter!$C$6:$I$13,2,FALSE),"")</f>
        <v>Mitarbeiter</v>
      </c>
      <c r="F25" s="10" t="str">
        <f>IFERROR(VLOOKUP(D25,Mitarbeiter!$C$6:$I$13,3,FALSE),"")</f>
        <v>Pflege</v>
      </c>
      <c r="G25" s="3" t="s">
        <v>3</v>
      </c>
      <c r="H25" s="17">
        <v>0.29166666666666669</v>
      </c>
      <c r="I25" s="17">
        <v>0.45833333333333331</v>
      </c>
      <c r="J25" s="18">
        <v>30</v>
      </c>
      <c r="K25" s="11">
        <f t="shared" si="2"/>
        <v>3.5</v>
      </c>
      <c r="L25" s="11">
        <f>IFERROR(VLOOKUP(D25,Mitarbeiter!$C$6:$I$13,6,FALSE),0)</f>
        <v>6</v>
      </c>
      <c r="M25" s="11">
        <f t="shared" si="3"/>
        <v>-2.5</v>
      </c>
      <c r="N25" s="12">
        <f>IFERROR(VLOOKUP(D25,Mitarbeiter!$C$6:$I$13,7,FALSE),0)</f>
        <v>20.5</v>
      </c>
      <c r="O25" s="12">
        <f t="shared" si="4"/>
        <v>71.75</v>
      </c>
      <c r="P25" s="3"/>
      <c r="Q25" s="3" t="s">
        <v>38</v>
      </c>
      <c r="R25" s="10" t="str">
        <f t="shared" si="5"/>
        <v>Unter Soll</v>
      </c>
      <c r="S25" s="19"/>
    </row>
    <row r="26" spans="1:19" ht="18" customHeight="1" x14ac:dyDescent="0.25">
      <c r="A26" s="16">
        <v>46086</v>
      </c>
      <c r="B26" s="10" t="str">
        <f t="shared" si="0"/>
        <v>jueves</v>
      </c>
      <c r="C26" s="14" t="e">
        <f t="shared" ca="1" si="1"/>
        <v>#NAME?</v>
      </c>
      <c r="D26" s="3" t="s">
        <v>80</v>
      </c>
      <c r="E26" s="10" t="str">
        <f>IFERROR(VLOOKUP(D26,Mitarbeiter!$C$6:$I$13,2,FALSE),"")</f>
        <v>Teamleitung</v>
      </c>
      <c r="F26" s="10" t="str">
        <f>IFERROR(VLOOKUP(D26,Mitarbeiter!$C$6:$I$13,3,FALSE),"")</f>
        <v>Verkauf</v>
      </c>
      <c r="G26" s="3" t="s">
        <v>3</v>
      </c>
      <c r="H26" s="17">
        <v>0.25</v>
      </c>
      <c r="I26" s="17">
        <v>0.58333333333333337</v>
      </c>
      <c r="J26" s="18">
        <v>30</v>
      </c>
      <c r="K26" s="11">
        <f t="shared" si="2"/>
        <v>7.5</v>
      </c>
      <c r="L26" s="11">
        <f>IFERROR(VLOOKUP(D26,Mitarbeiter!$C$6:$I$13,6,FALSE),0)</f>
        <v>8</v>
      </c>
      <c r="M26" s="11">
        <f t="shared" si="3"/>
        <v>-0.5</v>
      </c>
      <c r="N26" s="12">
        <f>IFERROR(VLOOKUP(D26,Mitarbeiter!$C$6:$I$13,7,FALSE),0)</f>
        <v>24.5</v>
      </c>
      <c r="O26" s="12">
        <f t="shared" si="4"/>
        <v>183.75</v>
      </c>
      <c r="P26" s="3"/>
      <c r="Q26" s="3" t="s">
        <v>38</v>
      </c>
      <c r="R26" s="10" t="str">
        <f t="shared" si="5"/>
        <v>OK</v>
      </c>
      <c r="S26" s="19"/>
    </row>
    <row r="27" spans="1:19" ht="18" customHeight="1" x14ac:dyDescent="0.25">
      <c r="A27" s="16">
        <v>46086</v>
      </c>
      <c r="B27" s="10" t="str">
        <f t="shared" si="0"/>
        <v>jueves</v>
      </c>
      <c r="C27" s="14" t="e">
        <f t="shared" ca="1" si="1"/>
        <v>#NAME?</v>
      </c>
      <c r="D27" s="3" t="s">
        <v>85</v>
      </c>
      <c r="E27" s="10" t="str">
        <f>IFERROR(VLOOKUP(D27,Mitarbeiter!$C$6:$I$13,2,FALSE),"")</f>
        <v>Mitarbeiter</v>
      </c>
      <c r="F27" s="10" t="str">
        <f>IFERROR(VLOOKUP(D27,Mitarbeiter!$C$6:$I$13,3,FALSE),"")</f>
        <v>Verkauf</v>
      </c>
      <c r="G27" s="3" t="s">
        <v>3</v>
      </c>
      <c r="H27" s="17">
        <v>0.25</v>
      </c>
      <c r="I27" s="17">
        <v>0.58333333333333337</v>
      </c>
      <c r="J27" s="18">
        <v>30</v>
      </c>
      <c r="K27" s="11">
        <f t="shared" si="2"/>
        <v>7.5</v>
      </c>
      <c r="L27" s="11">
        <f>IFERROR(VLOOKUP(D27,Mitarbeiter!$C$6:$I$13,6,FALSE),0)</f>
        <v>8</v>
      </c>
      <c r="M27" s="11">
        <f t="shared" si="3"/>
        <v>-0.5</v>
      </c>
      <c r="N27" s="12">
        <f>IFERROR(VLOOKUP(D27,Mitarbeiter!$C$6:$I$13,7,FALSE),0)</f>
        <v>18.5</v>
      </c>
      <c r="O27" s="12">
        <f t="shared" si="4"/>
        <v>138.75</v>
      </c>
      <c r="P27" s="3"/>
      <c r="Q27" s="3" t="s">
        <v>38</v>
      </c>
      <c r="R27" s="10" t="str">
        <f t="shared" si="5"/>
        <v>OK</v>
      </c>
      <c r="S27" s="19"/>
    </row>
    <row r="28" spans="1:19" ht="18" customHeight="1" x14ac:dyDescent="0.25">
      <c r="A28" s="16">
        <v>46086</v>
      </c>
      <c r="B28" s="10" t="str">
        <f t="shared" si="0"/>
        <v>jueves</v>
      </c>
      <c r="C28" s="14" t="e">
        <f t="shared" ca="1" si="1"/>
        <v>#NAME?</v>
      </c>
      <c r="D28" s="3" t="s">
        <v>94</v>
      </c>
      <c r="E28" s="10" t="str">
        <f>IFERROR(VLOOKUP(D28,Mitarbeiter!$C$6:$I$13,2,FALSE),"")</f>
        <v>Mitarbeiter</v>
      </c>
      <c r="F28" s="10" t="str">
        <f>IFERROR(VLOOKUP(D28,Mitarbeiter!$C$6:$I$13,3,FALSE),"")</f>
        <v>Lager</v>
      </c>
      <c r="G28" s="3" t="s">
        <v>4</v>
      </c>
      <c r="H28" s="17">
        <v>0.58333333333333337</v>
      </c>
      <c r="I28" s="17">
        <v>0.91666666666666663</v>
      </c>
      <c r="J28" s="18">
        <v>30</v>
      </c>
      <c r="K28" s="11">
        <f t="shared" si="2"/>
        <v>7.5</v>
      </c>
      <c r="L28" s="11">
        <f>IFERROR(VLOOKUP(D28,Mitarbeiter!$C$6:$I$13,6,FALSE),0)</f>
        <v>8</v>
      </c>
      <c r="M28" s="11">
        <f t="shared" si="3"/>
        <v>-0.5</v>
      </c>
      <c r="N28" s="12">
        <f>IFERROR(VLOOKUP(D28,Mitarbeiter!$C$6:$I$13,7,FALSE),0)</f>
        <v>19.2</v>
      </c>
      <c r="O28" s="12">
        <f t="shared" si="4"/>
        <v>144</v>
      </c>
      <c r="P28" s="3"/>
      <c r="Q28" s="3" t="s">
        <v>38</v>
      </c>
      <c r="R28" s="10" t="str">
        <f t="shared" si="5"/>
        <v>OK</v>
      </c>
      <c r="S28" s="19"/>
    </row>
    <row r="29" spans="1:19" ht="18" customHeight="1" x14ac:dyDescent="0.25">
      <c r="A29" s="16">
        <v>46086</v>
      </c>
      <c r="B29" s="10" t="str">
        <f t="shared" si="0"/>
        <v>jueves</v>
      </c>
      <c r="C29" s="14" t="e">
        <f t="shared" ca="1" si="1"/>
        <v>#NAME?</v>
      </c>
      <c r="D29" s="3" t="s">
        <v>98</v>
      </c>
      <c r="E29" s="10" t="str">
        <f>IFERROR(VLOOKUP(D29,Mitarbeiter!$C$6:$I$13,2,FALSE),"")</f>
        <v>Verwaltung</v>
      </c>
      <c r="F29" s="10" t="str">
        <f>IFERROR(VLOOKUP(D29,Mitarbeiter!$C$6:$I$13,3,FALSE),"")</f>
        <v>Büro</v>
      </c>
      <c r="G29" s="3" t="s">
        <v>6</v>
      </c>
      <c r="H29" s="17">
        <v>0.375</v>
      </c>
      <c r="I29" s="17">
        <v>0.70833333333333337</v>
      </c>
      <c r="J29" s="18">
        <v>60</v>
      </c>
      <c r="K29" s="11">
        <f t="shared" si="2"/>
        <v>7</v>
      </c>
      <c r="L29" s="11">
        <f>IFERROR(VLOOKUP(D29,Mitarbeiter!$C$6:$I$13,6,FALSE),0)</f>
        <v>7.6</v>
      </c>
      <c r="M29" s="11">
        <f t="shared" si="3"/>
        <v>-0.59999999999999964</v>
      </c>
      <c r="N29" s="12">
        <f>IFERROR(VLOOKUP(D29,Mitarbeiter!$C$6:$I$13,7,FALSE),0)</f>
        <v>22</v>
      </c>
      <c r="O29" s="12">
        <f t="shared" si="4"/>
        <v>154</v>
      </c>
      <c r="P29" s="3"/>
      <c r="Q29" s="3" t="s">
        <v>38</v>
      </c>
      <c r="R29" s="10" t="str">
        <f t="shared" si="5"/>
        <v>OK</v>
      </c>
      <c r="S29" s="19"/>
    </row>
    <row r="30" spans="1:19" ht="18" customHeight="1" x14ac:dyDescent="0.25">
      <c r="A30" s="16">
        <v>46086</v>
      </c>
      <c r="B30" s="10" t="str">
        <f t="shared" si="0"/>
        <v>jueves</v>
      </c>
      <c r="C30" s="14" t="e">
        <f t="shared" ca="1" si="1"/>
        <v>#NAME?</v>
      </c>
      <c r="D30" s="3" t="s">
        <v>112</v>
      </c>
      <c r="E30" s="10" t="str">
        <f>IFERROR(VLOOKUP(D30,Mitarbeiter!$C$6:$I$13,2,FALSE),"")</f>
        <v>Mitarbeiter</v>
      </c>
      <c r="F30" s="10" t="str">
        <f>IFERROR(VLOOKUP(D30,Mitarbeiter!$C$6:$I$13,3,FALSE),"")</f>
        <v>Produktion</v>
      </c>
      <c r="G30" s="3" t="s">
        <v>3</v>
      </c>
      <c r="H30" s="17">
        <v>0.25</v>
      </c>
      <c r="I30" s="17">
        <v>0.58333333333333337</v>
      </c>
      <c r="J30" s="18">
        <v>30</v>
      </c>
      <c r="K30" s="11">
        <f t="shared" si="2"/>
        <v>7.5</v>
      </c>
      <c r="L30" s="11">
        <f>IFERROR(VLOOKUP(D30,Mitarbeiter!$C$6:$I$13,6,FALSE),0)</f>
        <v>8</v>
      </c>
      <c r="M30" s="11">
        <f t="shared" si="3"/>
        <v>-0.5</v>
      </c>
      <c r="N30" s="12">
        <f>IFERROR(VLOOKUP(D30,Mitarbeiter!$C$6:$I$13,7,FALSE),0)</f>
        <v>19.8</v>
      </c>
      <c r="O30" s="12">
        <f t="shared" si="4"/>
        <v>148.5</v>
      </c>
      <c r="P30" s="3"/>
      <c r="Q30" s="3" t="s">
        <v>38</v>
      </c>
      <c r="R30" s="10" t="str">
        <f t="shared" si="5"/>
        <v>OK</v>
      </c>
      <c r="S30" s="19"/>
    </row>
    <row r="31" spans="1:19" ht="18" customHeight="1" x14ac:dyDescent="0.25">
      <c r="A31" s="16">
        <v>46087</v>
      </c>
      <c r="B31" s="10" t="str">
        <f t="shared" si="0"/>
        <v>viernes</v>
      </c>
      <c r="C31" s="14" t="e">
        <f t="shared" ca="1" si="1"/>
        <v>#NAME?</v>
      </c>
      <c r="D31" s="3" t="s">
        <v>80</v>
      </c>
      <c r="E31" s="10" t="str">
        <f>IFERROR(VLOOKUP(D31,Mitarbeiter!$C$6:$I$13,2,FALSE),"")</f>
        <v>Teamleitung</v>
      </c>
      <c r="F31" s="10" t="str">
        <f>IFERROR(VLOOKUP(D31,Mitarbeiter!$C$6:$I$13,3,FALSE),"")</f>
        <v>Verkauf</v>
      </c>
      <c r="G31" s="3" t="s">
        <v>3</v>
      </c>
      <c r="H31" s="17">
        <v>0.25</v>
      </c>
      <c r="I31" s="17">
        <v>0.58333333333333337</v>
      </c>
      <c r="J31" s="18">
        <v>30</v>
      </c>
      <c r="K31" s="11">
        <f t="shared" si="2"/>
        <v>7.5</v>
      </c>
      <c r="L31" s="11">
        <f>IFERROR(VLOOKUP(D31,Mitarbeiter!$C$6:$I$13,6,FALSE),0)</f>
        <v>8</v>
      </c>
      <c r="M31" s="11">
        <f t="shared" si="3"/>
        <v>-0.5</v>
      </c>
      <c r="N31" s="12">
        <f>IFERROR(VLOOKUP(D31,Mitarbeiter!$C$6:$I$13,7,FALSE),0)</f>
        <v>24.5</v>
      </c>
      <c r="O31" s="12">
        <f t="shared" si="4"/>
        <v>183.75</v>
      </c>
      <c r="P31" s="3"/>
      <c r="Q31" s="3" t="s">
        <v>38</v>
      </c>
      <c r="R31" s="10" t="str">
        <f t="shared" si="5"/>
        <v>OK</v>
      </c>
      <c r="S31" s="19"/>
    </row>
    <row r="32" spans="1:19" ht="18" customHeight="1" x14ac:dyDescent="0.25">
      <c r="A32" s="16">
        <v>46087</v>
      </c>
      <c r="B32" s="10" t="str">
        <f t="shared" si="0"/>
        <v>viernes</v>
      </c>
      <c r="C32" s="14" t="e">
        <f t="shared" ca="1" si="1"/>
        <v>#NAME?</v>
      </c>
      <c r="D32" s="3" t="s">
        <v>85</v>
      </c>
      <c r="E32" s="10" t="str">
        <f>IFERROR(VLOOKUP(D32,Mitarbeiter!$C$6:$I$13,2,FALSE),"")</f>
        <v>Mitarbeiter</v>
      </c>
      <c r="F32" s="10" t="str">
        <f>IFERROR(VLOOKUP(D32,Mitarbeiter!$C$6:$I$13,3,FALSE),"")</f>
        <v>Verkauf</v>
      </c>
      <c r="G32" s="3" t="s">
        <v>3</v>
      </c>
      <c r="H32" s="17">
        <v>0.25</v>
      </c>
      <c r="I32" s="17">
        <v>0.58333333333333337</v>
      </c>
      <c r="J32" s="18">
        <v>30</v>
      </c>
      <c r="K32" s="11">
        <f t="shared" si="2"/>
        <v>7.5</v>
      </c>
      <c r="L32" s="11">
        <f>IFERROR(VLOOKUP(D32,Mitarbeiter!$C$6:$I$13,6,FALSE),0)</f>
        <v>8</v>
      </c>
      <c r="M32" s="11">
        <f t="shared" si="3"/>
        <v>-0.5</v>
      </c>
      <c r="N32" s="12">
        <f>IFERROR(VLOOKUP(D32,Mitarbeiter!$C$6:$I$13,7,FALSE),0)</f>
        <v>18.5</v>
      </c>
      <c r="O32" s="12">
        <f t="shared" si="4"/>
        <v>138.75</v>
      </c>
      <c r="P32" s="3"/>
      <c r="Q32" s="3" t="s">
        <v>38</v>
      </c>
      <c r="R32" s="10" t="str">
        <f t="shared" si="5"/>
        <v>OK</v>
      </c>
      <c r="S32" s="19"/>
    </row>
    <row r="33" spans="1:19" ht="18" customHeight="1" x14ac:dyDescent="0.25">
      <c r="A33" s="16">
        <v>46087</v>
      </c>
      <c r="B33" s="10" t="str">
        <f t="shared" si="0"/>
        <v>viernes</v>
      </c>
      <c r="C33" s="14" t="e">
        <f t="shared" ca="1" si="1"/>
        <v>#NAME?</v>
      </c>
      <c r="D33" s="3" t="s">
        <v>94</v>
      </c>
      <c r="E33" s="10" t="str">
        <f>IFERROR(VLOOKUP(D33,Mitarbeiter!$C$6:$I$13,2,FALSE),"")</f>
        <v>Mitarbeiter</v>
      </c>
      <c r="F33" s="10" t="str">
        <f>IFERROR(VLOOKUP(D33,Mitarbeiter!$C$6:$I$13,3,FALSE),"")</f>
        <v>Lager</v>
      </c>
      <c r="G33" s="3" t="s">
        <v>4</v>
      </c>
      <c r="H33" s="17">
        <v>0.58333333333333337</v>
      </c>
      <c r="I33" s="17">
        <v>0.91666666666666663</v>
      </c>
      <c r="J33" s="18">
        <v>30</v>
      </c>
      <c r="K33" s="11">
        <f t="shared" si="2"/>
        <v>7.5</v>
      </c>
      <c r="L33" s="11">
        <f>IFERROR(VLOOKUP(D33,Mitarbeiter!$C$6:$I$13,6,FALSE),0)</f>
        <v>8</v>
      </c>
      <c r="M33" s="11">
        <f t="shared" si="3"/>
        <v>-0.5</v>
      </c>
      <c r="N33" s="12">
        <f>IFERROR(VLOOKUP(D33,Mitarbeiter!$C$6:$I$13,7,FALSE),0)</f>
        <v>19.2</v>
      </c>
      <c r="O33" s="12">
        <f t="shared" si="4"/>
        <v>144</v>
      </c>
      <c r="P33" s="3"/>
      <c r="Q33" s="3" t="s">
        <v>38</v>
      </c>
      <c r="R33" s="10" t="str">
        <f t="shared" si="5"/>
        <v>OK</v>
      </c>
      <c r="S33" s="19"/>
    </row>
    <row r="34" spans="1:19" ht="18" customHeight="1" x14ac:dyDescent="0.25">
      <c r="A34" s="16">
        <v>46087</v>
      </c>
      <c r="B34" s="10" t="str">
        <f t="shared" si="0"/>
        <v>viernes</v>
      </c>
      <c r="C34" s="14" t="e">
        <f t="shared" ca="1" si="1"/>
        <v>#NAME?</v>
      </c>
      <c r="D34" s="3" t="s">
        <v>98</v>
      </c>
      <c r="E34" s="10" t="str">
        <f>IFERROR(VLOOKUP(D34,Mitarbeiter!$C$6:$I$13,2,FALSE),"")</f>
        <v>Verwaltung</v>
      </c>
      <c r="F34" s="10" t="str">
        <f>IFERROR(VLOOKUP(D34,Mitarbeiter!$C$6:$I$13,3,FALSE),"")</f>
        <v>Büro</v>
      </c>
      <c r="G34" s="3" t="s">
        <v>6</v>
      </c>
      <c r="H34" s="17">
        <v>0.375</v>
      </c>
      <c r="I34" s="17">
        <v>0.70833333333333337</v>
      </c>
      <c r="J34" s="18">
        <v>60</v>
      </c>
      <c r="K34" s="11">
        <f t="shared" si="2"/>
        <v>7</v>
      </c>
      <c r="L34" s="11">
        <f>IFERROR(VLOOKUP(D34,Mitarbeiter!$C$6:$I$13,6,FALSE),0)</f>
        <v>7.6</v>
      </c>
      <c r="M34" s="11">
        <f t="shared" si="3"/>
        <v>-0.59999999999999964</v>
      </c>
      <c r="N34" s="12">
        <f>IFERROR(VLOOKUP(D34,Mitarbeiter!$C$6:$I$13,7,FALSE),0)</f>
        <v>22</v>
      </c>
      <c r="O34" s="12">
        <f t="shared" si="4"/>
        <v>154</v>
      </c>
      <c r="P34" s="3"/>
      <c r="Q34" s="3" t="s">
        <v>38</v>
      </c>
      <c r="R34" s="10" t="str">
        <f t="shared" si="5"/>
        <v>OK</v>
      </c>
      <c r="S34" s="19"/>
    </row>
    <row r="35" spans="1:19" ht="18" customHeight="1" x14ac:dyDescent="0.25">
      <c r="A35" s="16">
        <v>46087</v>
      </c>
      <c r="B35" s="10" t="str">
        <f t="shared" si="0"/>
        <v>viernes</v>
      </c>
      <c r="C35" s="14" t="e">
        <f t="shared" ca="1" si="1"/>
        <v>#NAME?</v>
      </c>
      <c r="D35" s="3" t="s">
        <v>112</v>
      </c>
      <c r="E35" s="10" t="str">
        <f>IFERROR(VLOOKUP(D35,Mitarbeiter!$C$6:$I$13,2,FALSE),"")</f>
        <v>Mitarbeiter</v>
      </c>
      <c r="F35" s="10" t="str">
        <f>IFERROR(VLOOKUP(D35,Mitarbeiter!$C$6:$I$13,3,FALSE),"")</f>
        <v>Produktion</v>
      </c>
      <c r="G35" s="3" t="s">
        <v>8</v>
      </c>
      <c r="H35" s="17"/>
      <c r="I35" s="17"/>
      <c r="J35" s="18">
        <v>0</v>
      </c>
      <c r="K35" s="11">
        <f t="shared" si="2"/>
        <v>0</v>
      </c>
      <c r="L35" s="11">
        <f>IFERROR(VLOOKUP(D35,Mitarbeiter!$C$6:$I$13,6,FALSE),0)</f>
        <v>8</v>
      </c>
      <c r="M35" s="11">
        <f t="shared" si="3"/>
        <v>-8</v>
      </c>
      <c r="N35" s="12">
        <f>IFERROR(VLOOKUP(D35,Mitarbeiter!$C$6:$I$13,7,FALSE),0)</f>
        <v>19.8</v>
      </c>
      <c r="O35" s="12">
        <f t="shared" si="4"/>
        <v>0</v>
      </c>
      <c r="P35" s="3" t="s">
        <v>8</v>
      </c>
      <c r="Q35" s="3" t="s">
        <v>38</v>
      </c>
      <c r="R35" s="10" t="str">
        <f t="shared" si="5"/>
        <v>Ruhetag / Abwesenheit</v>
      </c>
      <c r="S35" s="19"/>
    </row>
    <row r="36" spans="1:19" ht="18" customHeight="1" x14ac:dyDescent="0.25">
      <c r="A36" s="16">
        <v>46088</v>
      </c>
      <c r="B36" s="10" t="str">
        <f t="shared" si="0"/>
        <v>sábado</v>
      </c>
      <c r="C36" s="14" t="e">
        <f t="shared" ca="1" si="1"/>
        <v>#NAME?</v>
      </c>
      <c r="D36" s="3" t="s">
        <v>103</v>
      </c>
      <c r="E36" s="10" t="str">
        <f>IFERROR(VLOOKUP(D36,Mitarbeiter!$C$6:$I$13,2,FALSE),"")</f>
        <v>Aushilfe</v>
      </c>
      <c r="F36" s="10" t="str">
        <f>IFERROR(VLOOKUP(D36,Mitarbeiter!$C$6:$I$13,3,FALSE),"")</f>
        <v>Service</v>
      </c>
      <c r="G36" s="3" t="s">
        <v>7</v>
      </c>
      <c r="H36" s="17">
        <v>0.375</v>
      </c>
      <c r="I36" s="17">
        <v>0.54166666666666663</v>
      </c>
      <c r="J36" s="18">
        <v>0</v>
      </c>
      <c r="K36" s="11">
        <f t="shared" si="2"/>
        <v>4</v>
      </c>
      <c r="L36" s="11">
        <f>IFERROR(VLOOKUP(D36,Mitarbeiter!$C$6:$I$13,6,FALSE),0)</f>
        <v>4</v>
      </c>
      <c r="M36" s="11">
        <f t="shared" si="3"/>
        <v>0</v>
      </c>
      <c r="N36" s="12">
        <f>IFERROR(VLOOKUP(D36,Mitarbeiter!$C$6:$I$13,7,FALSE),0)</f>
        <v>15</v>
      </c>
      <c r="O36" s="12">
        <f t="shared" si="4"/>
        <v>60</v>
      </c>
      <c r="P36" s="3"/>
      <c r="Q36" s="3" t="s">
        <v>38</v>
      </c>
      <c r="R36" s="10" t="str">
        <f t="shared" si="5"/>
        <v>OK</v>
      </c>
      <c r="S36" s="19"/>
    </row>
    <row r="37" spans="1:19" ht="18" customHeight="1" x14ac:dyDescent="0.25">
      <c r="A37" s="16">
        <v>46088</v>
      </c>
      <c r="B37" s="10" t="str">
        <f t="shared" si="0"/>
        <v>sábado</v>
      </c>
      <c r="C37" s="14" t="e">
        <f t="shared" ca="1" si="1"/>
        <v>#NAME?</v>
      </c>
      <c r="D37" s="3" t="s">
        <v>89</v>
      </c>
      <c r="E37" s="10" t="str">
        <f>IFERROR(VLOOKUP(D37,Mitarbeiter!$C$6:$I$13,2,FALSE),"")</f>
        <v>Mitarbeiter</v>
      </c>
      <c r="F37" s="10" t="str">
        <f>IFERROR(VLOOKUP(D37,Mitarbeiter!$C$6:$I$13,3,FALSE),"")</f>
        <v>Service</v>
      </c>
      <c r="G37" s="3" t="s">
        <v>7</v>
      </c>
      <c r="H37" s="17">
        <v>0.375</v>
      </c>
      <c r="I37" s="17">
        <v>0.58333333333333337</v>
      </c>
      <c r="J37" s="18">
        <v>0</v>
      </c>
      <c r="K37" s="11">
        <f t="shared" si="2"/>
        <v>5</v>
      </c>
      <c r="L37" s="11">
        <f>IFERROR(VLOOKUP(D37,Mitarbeiter!$C$6:$I$13,6,FALSE),0)</f>
        <v>5</v>
      </c>
      <c r="M37" s="11">
        <f t="shared" si="3"/>
        <v>0</v>
      </c>
      <c r="N37" s="12">
        <f>IFERROR(VLOOKUP(D37,Mitarbeiter!$C$6:$I$13,7,FALSE),0)</f>
        <v>17.8</v>
      </c>
      <c r="O37" s="12">
        <f t="shared" si="4"/>
        <v>89</v>
      </c>
      <c r="P37" s="3"/>
      <c r="Q37" s="3" t="s">
        <v>38</v>
      </c>
      <c r="R37" s="10" t="str">
        <f t="shared" si="5"/>
        <v>OK</v>
      </c>
      <c r="S37" s="19"/>
    </row>
    <row r="38" spans="1:19" ht="18" customHeight="1" x14ac:dyDescent="0.25">
      <c r="A38" s="16">
        <v>46088</v>
      </c>
      <c r="B38" s="10" t="str">
        <f t="shared" ref="B38:B69" si="6">TEXT(A38,"dddd")</f>
        <v>sábado</v>
      </c>
      <c r="C38" s="14" t="e">
        <f t="shared" ref="C38:C69" ca="1" si="7">_xludf.ISOWEEKNUM(A38)</f>
        <v>#NAME?</v>
      </c>
      <c r="D38" s="3" t="s">
        <v>112</v>
      </c>
      <c r="E38" s="10" t="str">
        <f>IFERROR(VLOOKUP(D38,Mitarbeiter!$C$6:$I$13,2,FALSE),"")</f>
        <v>Mitarbeiter</v>
      </c>
      <c r="F38" s="10" t="str">
        <f>IFERROR(VLOOKUP(D38,Mitarbeiter!$C$6:$I$13,3,FALSE),"")</f>
        <v>Produktion</v>
      </c>
      <c r="G38" s="3" t="s">
        <v>3</v>
      </c>
      <c r="H38" s="17">
        <v>0.25</v>
      </c>
      <c r="I38" s="17">
        <v>0.58333333333333337</v>
      </c>
      <c r="J38" s="18">
        <v>30</v>
      </c>
      <c r="K38" s="11">
        <f t="shared" ref="K38:K69" si="8">IF(OR(P38="Urlaub",P38="Krankheit",P38="Frei",P38="Feiertag"),0,IF(OR(H38="",I38=""),0,ROUND((MOD(I38-H38,1)*24)-(J38/60),2)))</f>
        <v>7.5</v>
      </c>
      <c r="L38" s="11">
        <f>IFERROR(VLOOKUP(D38,Mitarbeiter!$C$6:$I$13,6,FALSE),0)</f>
        <v>8</v>
      </c>
      <c r="M38" s="11">
        <f t="shared" ref="M38:M69" si="9">K38-L38</f>
        <v>-0.5</v>
      </c>
      <c r="N38" s="12">
        <f>IFERROR(VLOOKUP(D38,Mitarbeiter!$C$6:$I$13,7,FALSE),0)</f>
        <v>19.8</v>
      </c>
      <c r="O38" s="12">
        <f t="shared" ref="O38:O69" si="10">K38*N38</f>
        <v>148.5</v>
      </c>
      <c r="P38" s="3"/>
      <c r="Q38" s="3" t="s">
        <v>38</v>
      </c>
      <c r="R38" s="10" t="str">
        <f t="shared" ref="R38:R69" si="11">IF(P38&lt;&gt;"","Ruhetag / Abwesenheit",IF(M38&gt;2,"Überstunden",IF(M38&lt;-2,"Unter Soll","OK")))</f>
        <v>OK</v>
      </c>
      <c r="S38" s="19"/>
    </row>
    <row r="39" spans="1:19" ht="18" customHeight="1" x14ac:dyDescent="0.25">
      <c r="A39" s="16">
        <v>46089</v>
      </c>
      <c r="B39" s="10" t="str">
        <f t="shared" si="6"/>
        <v>domingo</v>
      </c>
      <c r="C39" s="14" t="e">
        <f t="shared" ca="1" si="7"/>
        <v>#NAME?</v>
      </c>
      <c r="D39" s="3" t="s">
        <v>103</v>
      </c>
      <c r="E39" s="10" t="str">
        <f>IFERROR(VLOOKUP(D39,Mitarbeiter!$C$6:$I$13,2,FALSE),"")</f>
        <v>Aushilfe</v>
      </c>
      <c r="F39" s="10" t="str">
        <f>IFERROR(VLOOKUP(D39,Mitarbeiter!$C$6:$I$13,3,FALSE),"")</f>
        <v>Service</v>
      </c>
      <c r="G39" s="3" t="s">
        <v>7</v>
      </c>
      <c r="H39" s="17">
        <v>0.375</v>
      </c>
      <c r="I39" s="17">
        <v>0.54166666666666663</v>
      </c>
      <c r="J39" s="18">
        <v>0</v>
      </c>
      <c r="K39" s="11">
        <f t="shared" si="8"/>
        <v>4</v>
      </c>
      <c r="L39" s="11">
        <f>IFERROR(VLOOKUP(D39,Mitarbeiter!$C$6:$I$13,6,FALSE),0)</f>
        <v>4</v>
      </c>
      <c r="M39" s="11">
        <f t="shared" si="9"/>
        <v>0</v>
      </c>
      <c r="N39" s="12">
        <f>IFERROR(VLOOKUP(D39,Mitarbeiter!$C$6:$I$13,7,FALSE),0)</f>
        <v>15</v>
      </c>
      <c r="O39" s="12">
        <f t="shared" si="10"/>
        <v>60</v>
      </c>
      <c r="P39" s="3"/>
      <c r="Q39" s="3" t="s">
        <v>38</v>
      </c>
      <c r="R39" s="10" t="str">
        <f t="shared" si="11"/>
        <v>OK</v>
      </c>
      <c r="S39" s="19"/>
    </row>
    <row r="40" spans="1:19" ht="18" customHeight="1" x14ac:dyDescent="0.25">
      <c r="A40" s="16">
        <v>46089</v>
      </c>
      <c r="B40" s="10" t="str">
        <f t="shared" si="6"/>
        <v>domingo</v>
      </c>
      <c r="C40" s="14" t="e">
        <f t="shared" ca="1" si="7"/>
        <v>#NAME?</v>
      </c>
      <c r="D40" s="3" t="s">
        <v>89</v>
      </c>
      <c r="E40" s="10" t="str">
        <f>IFERROR(VLOOKUP(D40,Mitarbeiter!$C$6:$I$13,2,FALSE),"")</f>
        <v>Mitarbeiter</v>
      </c>
      <c r="F40" s="10" t="str">
        <f>IFERROR(VLOOKUP(D40,Mitarbeiter!$C$6:$I$13,3,FALSE),"")</f>
        <v>Service</v>
      </c>
      <c r="G40" s="3" t="s">
        <v>7</v>
      </c>
      <c r="H40" s="17">
        <v>0.375</v>
      </c>
      <c r="I40" s="17">
        <v>0.58333333333333337</v>
      </c>
      <c r="J40" s="18">
        <v>0</v>
      </c>
      <c r="K40" s="11">
        <f t="shared" si="8"/>
        <v>5</v>
      </c>
      <c r="L40" s="11">
        <f>IFERROR(VLOOKUP(D40,Mitarbeiter!$C$6:$I$13,6,FALSE),0)</f>
        <v>5</v>
      </c>
      <c r="M40" s="11">
        <f t="shared" si="9"/>
        <v>0</v>
      </c>
      <c r="N40" s="12">
        <f>IFERROR(VLOOKUP(D40,Mitarbeiter!$C$6:$I$13,7,FALSE),0)</f>
        <v>17.8</v>
      </c>
      <c r="O40" s="12">
        <f t="shared" si="10"/>
        <v>89</v>
      </c>
      <c r="P40" s="3"/>
      <c r="Q40" s="3" t="s">
        <v>38</v>
      </c>
      <c r="R40" s="10" t="str">
        <f t="shared" si="11"/>
        <v>OK</v>
      </c>
      <c r="S40" s="19"/>
    </row>
    <row r="41" spans="1:19" ht="18" customHeight="1" x14ac:dyDescent="0.25">
      <c r="A41" s="16">
        <v>46090</v>
      </c>
      <c r="B41" s="10" t="str">
        <f t="shared" si="6"/>
        <v>lunes</v>
      </c>
      <c r="C41" s="14" t="e">
        <f t="shared" ca="1" si="7"/>
        <v>#NAME?</v>
      </c>
      <c r="D41" s="3" t="s">
        <v>80</v>
      </c>
      <c r="E41" s="10" t="str">
        <f>IFERROR(VLOOKUP(D41,Mitarbeiter!$C$6:$I$13,2,FALSE),"")</f>
        <v>Teamleitung</v>
      </c>
      <c r="F41" s="10" t="str">
        <f>IFERROR(VLOOKUP(D41,Mitarbeiter!$C$6:$I$13,3,FALSE),"")</f>
        <v>Verkauf</v>
      </c>
      <c r="G41" s="3" t="s">
        <v>3</v>
      </c>
      <c r="H41" s="17">
        <v>0.25</v>
      </c>
      <c r="I41" s="17">
        <v>0.58333333333333337</v>
      </c>
      <c r="J41" s="18">
        <v>30</v>
      </c>
      <c r="K41" s="11">
        <f t="shared" si="8"/>
        <v>7.5</v>
      </c>
      <c r="L41" s="11">
        <f>IFERROR(VLOOKUP(D41,Mitarbeiter!$C$6:$I$13,6,FALSE),0)</f>
        <v>8</v>
      </c>
      <c r="M41" s="11">
        <f t="shared" si="9"/>
        <v>-0.5</v>
      </c>
      <c r="N41" s="12">
        <f>IFERROR(VLOOKUP(D41,Mitarbeiter!$C$6:$I$13,7,FALSE),0)</f>
        <v>24.5</v>
      </c>
      <c r="O41" s="12">
        <f t="shared" si="10"/>
        <v>183.75</v>
      </c>
      <c r="P41" s="3"/>
      <c r="Q41" s="3" t="s">
        <v>38</v>
      </c>
      <c r="R41" s="10" t="str">
        <f t="shared" si="11"/>
        <v>OK</v>
      </c>
      <c r="S41" s="19"/>
    </row>
    <row r="42" spans="1:19" ht="18" customHeight="1" x14ac:dyDescent="0.25">
      <c r="A42" s="16">
        <v>46090</v>
      </c>
      <c r="B42" s="10" t="str">
        <f t="shared" si="6"/>
        <v>lunes</v>
      </c>
      <c r="C42" s="14" t="e">
        <f t="shared" ca="1" si="7"/>
        <v>#NAME?</v>
      </c>
      <c r="D42" s="3" t="s">
        <v>85</v>
      </c>
      <c r="E42" s="10" t="str">
        <f>IFERROR(VLOOKUP(D42,Mitarbeiter!$C$6:$I$13,2,FALSE),"")</f>
        <v>Mitarbeiter</v>
      </c>
      <c r="F42" s="10" t="str">
        <f>IFERROR(VLOOKUP(D42,Mitarbeiter!$C$6:$I$13,3,FALSE),"")</f>
        <v>Verkauf</v>
      </c>
      <c r="G42" s="3" t="s">
        <v>3</v>
      </c>
      <c r="H42" s="17">
        <v>0.25</v>
      </c>
      <c r="I42" s="17">
        <v>0.58333333333333337</v>
      </c>
      <c r="J42" s="18">
        <v>30</v>
      </c>
      <c r="K42" s="11">
        <f t="shared" si="8"/>
        <v>7.5</v>
      </c>
      <c r="L42" s="11">
        <f>IFERROR(VLOOKUP(D42,Mitarbeiter!$C$6:$I$13,6,FALSE),0)</f>
        <v>8</v>
      </c>
      <c r="M42" s="11">
        <f t="shared" si="9"/>
        <v>-0.5</v>
      </c>
      <c r="N42" s="12">
        <f>IFERROR(VLOOKUP(D42,Mitarbeiter!$C$6:$I$13,7,FALSE),0)</f>
        <v>18.5</v>
      </c>
      <c r="O42" s="12">
        <f t="shared" si="10"/>
        <v>138.75</v>
      </c>
      <c r="P42" s="3"/>
      <c r="Q42" s="3" t="s">
        <v>38</v>
      </c>
      <c r="R42" s="10" t="str">
        <f t="shared" si="11"/>
        <v>OK</v>
      </c>
      <c r="S42" s="19"/>
    </row>
    <row r="43" spans="1:19" ht="18" customHeight="1" x14ac:dyDescent="0.25">
      <c r="A43" s="16">
        <v>46090</v>
      </c>
      <c r="B43" s="10" t="str">
        <f t="shared" si="6"/>
        <v>lunes</v>
      </c>
      <c r="C43" s="14" t="e">
        <f t="shared" ca="1" si="7"/>
        <v>#NAME?</v>
      </c>
      <c r="D43" s="3" t="s">
        <v>94</v>
      </c>
      <c r="E43" s="10" t="str">
        <f>IFERROR(VLOOKUP(D43,Mitarbeiter!$C$6:$I$13,2,FALSE),"")</f>
        <v>Mitarbeiter</v>
      </c>
      <c r="F43" s="10" t="str">
        <f>IFERROR(VLOOKUP(D43,Mitarbeiter!$C$6:$I$13,3,FALSE),"")</f>
        <v>Lager</v>
      </c>
      <c r="G43" s="3" t="s">
        <v>4</v>
      </c>
      <c r="H43" s="17">
        <v>0.58333333333333337</v>
      </c>
      <c r="I43" s="17">
        <v>0.91666666666666663</v>
      </c>
      <c r="J43" s="18">
        <v>30</v>
      </c>
      <c r="K43" s="11">
        <f t="shared" si="8"/>
        <v>7.5</v>
      </c>
      <c r="L43" s="11">
        <f>IFERROR(VLOOKUP(D43,Mitarbeiter!$C$6:$I$13,6,FALSE),0)</f>
        <v>8</v>
      </c>
      <c r="M43" s="11">
        <f t="shared" si="9"/>
        <v>-0.5</v>
      </c>
      <c r="N43" s="12">
        <f>IFERROR(VLOOKUP(D43,Mitarbeiter!$C$6:$I$13,7,FALSE),0)</f>
        <v>19.2</v>
      </c>
      <c r="O43" s="12">
        <f t="shared" si="10"/>
        <v>144</v>
      </c>
      <c r="P43" s="3"/>
      <c r="Q43" s="3" t="s">
        <v>38</v>
      </c>
      <c r="R43" s="10" t="str">
        <f t="shared" si="11"/>
        <v>OK</v>
      </c>
      <c r="S43" s="19"/>
    </row>
    <row r="44" spans="1:19" ht="18" customHeight="1" x14ac:dyDescent="0.25">
      <c r="A44" s="16">
        <v>46090</v>
      </c>
      <c r="B44" s="10" t="str">
        <f t="shared" si="6"/>
        <v>lunes</v>
      </c>
      <c r="C44" s="14" t="e">
        <f t="shared" ca="1" si="7"/>
        <v>#NAME?</v>
      </c>
      <c r="D44" s="3" t="s">
        <v>98</v>
      </c>
      <c r="E44" s="10" t="str">
        <f>IFERROR(VLOOKUP(D44,Mitarbeiter!$C$6:$I$13,2,FALSE),"")</f>
        <v>Verwaltung</v>
      </c>
      <c r="F44" s="10" t="str">
        <f>IFERROR(VLOOKUP(D44,Mitarbeiter!$C$6:$I$13,3,FALSE),"")</f>
        <v>Büro</v>
      </c>
      <c r="G44" s="3" t="s">
        <v>6</v>
      </c>
      <c r="H44" s="17">
        <v>0.375</v>
      </c>
      <c r="I44" s="17">
        <v>0.70833333333333337</v>
      </c>
      <c r="J44" s="18">
        <v>60</v>
      </c>
      <c r="K44" s="11">
        <f t="shared" si="8"/>
        <v>7</v>
      </c>
      <c r="L44" s="11">
        <f>IFERROR(VLOOKUP(D44,Mitarbeiter!$C$6:$I$13,6,FALSE),0)</f>
        <v>7.6</v>
      </c>
      <c r="M44" s="11">
        <f t="shared" si="9"/>
        <v>-0.59999999999999964</v>
      </c>
      <c r="N44" s="12">
        <f>IFERROR(VLOOKUP(D44,Mitarbeiter!$C$6:$I$13,7,FALSE),0)</f>
        <v>22</v>
      </c>
      <c r="O44" s="12">
        <f t="shared" si="10"/>
        <v>154</v>
      </c>
      <c r="P44" s="3"/>
      <c r="Q44" s="3" t="s">
        <v>38</v>
      </c>
      <c r="R44" s="10" t="str">
        <f t="shared" si="11"/>
        <v>OK</v>
      </c>
      <c r="S44" s="19"/>
    </row>
    <row r="45" spans="1:19" ht="18" customHeight="1" x14ac:dyDescent="0.25">
      <c r="A45" s="16">
        <v>46090</v>
      </c>
      <c r="B45" s="10" t="str">
        <f t="shared" si="6"/>
        <v>lunes</v>
      </c>
      <c r="C45" s="14" t="e">
        <f t="shared" ca="1" si="7"/>
        <v>#NAME?</v>
      </c>
      <c r="D45" s="3" t="s">
        <v>112</v>
      </c>
      <c r="E45" s="10" t="str">
        <f>IFERROR(VLOOKUP(D45,Mitarbeiter!$C$6:$I$13,2,FALSE),"")</f>
        <v>Mitarbeiter</v>
      </c>
      <c r="F45" s="10" t="str">
        <f>IFERROR(VLOOKUP(D45,Mitarbeiter!$C$6:$I$13,3,FALSE),"")</f>
        <v>Produktion</v>
      </c>
      <c r="G45" s="3" t="s">
        <v>3</v>
      </c>
      <c r="H45" s="17">
        <v>0.25</v>
      </c>
      <c r="I45" s="17">
        <v>0.58333333333333337</v>
      </c>
      <c r="J45" s="18">
        <v>30</v>
      </c>
      <c r="K45" s="11">
        <f t="shared" si="8"/>
        <v>7.5</v>
      </c>
      <c r="L45" s="11">
        <f>IFERROR(VLOOKUP(D45,Mitarbeiter!$C$6:$I$13,6,FALSE),0)</f>
        <v>8</v>
      </c>
      <c r="M45" s="11">
        <f t="shared" si="9"/>
        <v>-0.5</v>
      </c>
      <c r="N45" s="12">
        <f>IFERROR(VLOOKUP(D45,Mitarbeiter!$C$6:$I$13,7,FALSE),0)</f>
        <v>19.8</v>
      </c>
      <c r="O45" s="12">
        <f t="shared" si="10"/>
        <v>148.5</v>
      </c>
      <c r="P45" s="3"/>
      <c r="Q45" s="3" t="s">
        <v>38</v>
      </c>
      <c r="R45" s="10" t="str">
        <f t="shared" si="11"/>
        <v>OK</v>
      </c>
      <c r="S45" s="19"/>
    </row>
    <row r="46" spans="1:19" ht="18" customHeight="1" x14ac:dyDescent="0.25">
      <c r="A46" s="16">
        <v>46090</v>
      </c>
      <c r="B46" s="10" t="str">
        <f t="shared" si="6"/>
        <v>lunes</v>
      </c>
      <c r="C46" s="14" t="e">
        <f t="shared" ca="1" si="7"/>
        <v>#NAME?</v>
      </c>
      <c r="D46" s="3" t="s">
        <v>108</v>
      </c>
      <c r="E46" s="10" t="str">
        <f>IFERROR(VLOOKUP(D46,Mitarbeiter!$C$6:$I$13,2,FALSE),"")</f>
        <v>Mitarbeiter</v>
      </c>
      <c r="F46" s="10" t="str">
        <f>IFERROR(VLOOKUP(D46,Mitarbeiter!$C$6:$I$13,3,FALSE),"")</f>
        <v>Pflege</v>
      </c>
      <c r="G46" s="3" t="s">
        <v>3</v>
      </c>
      <c r="H46" s="17">
        <v>0.29166666666666669</v>
      </c>
      <c r="I46" s="17">
        <v>0.54166666666666663</v>
      </c>
      <c r="J46" s="18">
        <v>30</v>
      </c>
      <c r="K46" s="11">
        <f t="shared" si="8"/>
        <v>5.5</v>
      </c>
      <c r="L46" s="11">
        <f>IFERROR(VLOOKUP(D46,Mitarbeiter!$C$6:$I$13,6,FALSE),0)</f>
        <v>6</v>
      </c>
      <c r="M46" s="11">
        <f t="shared" si="9"/>
        <v>-0.5</v>
      </c>
      <c r="N46" s="12">
        <f>IFERROR(VLOOKUP(D46,Mitarbeiter!$C$6:$I$13,7,FALSE),0)</f>
        <v>20.5</v>
      </c>
      <c r="O46" s="12">
        <f t="shared" si="10"/>
        <v>112.75</v>
      </c>
      <c r="P46" s="3"/>
      <c r="Q46" s="3" t="s">
        <v>38</v>
      </c>
      <c r="R46" s="10" t="str">
        <f t="shared" si="11"/>
        <v>OK</v>
      </c>
      <c r="S46" s="19"/>
    </row>
    <row r="47" spans="1:19" ht="18" customHeight="1" x14ac:dyDescent="0.25">
      <c r="A47" s="16">
        <v>46090</v>
      </c>
      <c r="B47" s="10" t="str">
        <f t="shared" si="6"/>
        <v>lunes</v>
      </c>
      <c r="C47" s="14" t="e">
        <f t="shared" ca="1" si="7"/>
        <v>#NAME?</v>
      </c>
      <c r="D47" s="3" t="s">
        <v>89</v>
      </c>
      <c r="E47" s="10" t="str">
        <f>IFERROR(VLOOKUP(D47,Mitarbeiter!$C$6:$I$13,2,FALSE),"")</f>
        <v>Mitarbeiter</v>
      </c>
      <c r="F47" s="10" t="str">
        <f>IFERROR(VLOOKUP(D47,Mitarbeiter!$C$6:$I$13,3,FALSE),"")</f>
        <v>Service</v>
      </c>
      <c r="G47" s="3" t="s">
        <v>8</v>
      </c>
      <c r="H47" s="17"/>
      <c r="I47" s="17"/>
      <c r="J47" s="18">
        <v>0</v>
      </c>
      <c r="K47" s="11">
        <f t="shared" si="8"/>
        <v>0</v>
      </c>
      <c r="L47" s="11">
        <f>IFERROR(VLOOKUP(D47,Mitarbeiter!$C$6:$I$13,6,FALSE),0)</f>
        <v>5</v>
      </c>
      <c r="M47" s="11">
        <f t="shared" si="9"/>
        <v>-5</v>
      </c>
      <c r="N47" s="12">
        <f>IFERROR(VLOOKUP(D47,Mitarbeiter!$C$6:$I$13,7,FALSE),0)</f>
        <v>17.8</v>
      </c>
      <c r="O47" s="12">
        <f t="shared" si="10"/>
        <v>0</v>
      </c>
      <c r="P47" s="3" t="s">
        <v>31</v>
      </c>
      <c r="Q47" s="3" t="s">
        <v>38</v>
      </c>
      <c r="R47" s="10" t="str">
        <f t="shared" si="11"/>
        <v>Ruhetag / Abwesenheit</v>
      </c>
      <c r="S47" s="19"/>
    </row>
    <row r="48" spans="1:19" ht="18" customHeight="1" x14ac:dyDescent="0.25">
      <c r="A48" s="16">
        <v>46091</v>
      </c>
      <c r="B48" s="10" t="str">
        <f t="shared" si="6"/>
        <v>martes</v>
      </c>
      <c r="C48" s="14" t="e">
        <f t="shared" ca="1" si="7"/>
        <v>#NAME?</v>
      </c>
      <c r="D48" s="3" t="s">
        <v>80</v>
      </c>
      <c r="E48" s="10" t="str">
        <f>IFERROR(VLOOKUP(D48,Mitarbeiter!$C$6:$I$13,2,FALSE),"")</f>
        <v>Teamleitung</v>
      </c>
      <c r="F48" s="10" t="str">
        <f>IFERROR(VLOOKUP(D48,Mitarbeiter!$C$6:$I$13,3,FALSE),"")</f>
        <v>Verkauf</v>
      </c>
      <c r="G48" s="3" t="s">
        <v>3</v>
      </c>
      <c r="H48" s="17">
        <v>0.25</v>
      </c>
      <c r="I48" s="17">
        <v>0.58333333333333337</v>
      </c>
      <c r="J48" s="18">
        <v>30</v>
      </c>
      <c r="K48" s="11">
        <f t="shared" si="8"/>
        <v>7.5</v>
      </c>
      <c r="L48" s="11">
        <f>IFERROR(VLOOKUP(D48,Mitarbeiter!$C$6:$I$13,6,FALSE),0)</f>
        <v>8</v>
      </c>
      <c r="M48" s="11">
        <f t="shared" si="9"/>
        <v>-0.5</v>
      </c>
      <c r="N48" s="12">
        <f>IFERROR(VLOOKUP(D48,Mitarbeiter!$C$6:$I$13,7,FALSE),0)</f>
        <v>24.5</v>
      </c>
      <c r="O48" s="12">
        <f t="shared" si="10"/>
        <v>183.75</v>
      </c>
      <c r="P48" s="3"/>
      <c r="Q48" s="3" t="s">
        <v>38</v>
      </c>
      <c r="R48" s="10" t="str">
        <f t="shared" si="11"/>
        <v>OK</v>
      </c>
      <c r="S48" s="19"/>
    </row>
    <row r="49" spans="1:19" ht="18" customHeight="1" x14ac:dyDescent="0.25">
      <c r="A49" s="16">
        <v>46091</v>
      </c>
      <c r="B49" s="10" t="str">
        <f t="shared" si="6"/>
        <v>martes</v>
      </c>
      <c r="C49" s="14" t="e">
        <f t="shared" ca="1" si="7"/>
        <v>#NAME?</v>
      </c>
      <c r="D49" s="3" t="s">
        <v>85</v>
      </c>
      <c r="E49" s="10" t="str">
        <f>IFERROR(VLOOKUP(D49,Mitarbeiter!$C$6:$I$13,2,FALSE),"")</f>
        <v>Mitarbeiter</v>
      </c>
      <c r="F49" s="10" t="str">
        <f>IFERROR(VLOOKUP(D49,Mitarbeiter!$C$6:$I$13,3,FALSE),"")</f>
        <v>Verkauf</v>
      </c>
      <c r="G49" s="3" t="s">
        <v>3</v>
      </c>
      <c r="H49" s="17">
        <v>0.25</v>
      </c>
      <c r="I49" s="17">
        <v>0.66666666666666663</v>
      </c>
      <c r="J49" s="18">
        <v>30</v>
      </c>
      <c r="K49" s="11">
        <f t="shared" si="8"/>
        <v>9.5</v>
      </c>
      <c r="L49" s="11">
        <f>IFERROR(VLOOKUP(D49,Mitarbeiter!$C$6:$I$13,6,FALSE),0)</f>
        <v>8</v>
      </c>
      <c r="M49" s="11">
        <f t="shared" si="9"/>
        <v>1.5</v>
      </c>
      <c r="N49" s="12">
        <f>IFERROR(VLOOKUP(D49,Mitarbeiter!$C$6:$I$13,7,FALSE),0)</f>
        <v>18.5</v>
      </c>
      <c r="O49" s="12">
        <f t="shared" si="10"/>
        <v>175.75</v>
      </c>
      <c r="P49" s="3"/>
      <c r="Q49" s="3" t="s">
        <v>38</v>
      </c>
      <c r="R49" s="10" t="str">
        <f t="shared" si="11"/>
        <v>OK</v>
      </c>
      <c r="S49" s="19"/>
    </row>
    <row r="50" spans="1:19" ht="18" customHeight="1" x14ac:dyDescent="0.25">
      <c r="A50" s="16">
        <v>46091</v>
      </c>
      <c r="B50" s="10" t="str">
        <f t="shared" si="6"/>
        <v>martes</v>
      </c>
      <c r="C50" s="14" t="e">
        <f t="shared" ca="1" si="7"/>
        <v>#NAME?</v>
      </c>
      <c r="D50" s="3" t="s">
        <v>94</v>
      </c>
      <c r="E50" s="10" t="str">
        <f>IFERROR(VLOOKUP(D50,Mitarbeiter!$C$6:$I$13,2,FALSE),"")</f>
        <v>Mitarbeiter</v>
      </c>
      <c r="F50" s="10" t="str">
        <f>IFERROR(VLOOKUP(D50,Mitarbeiter!$C$6:$I$13,3,FALSE),"")</f>
        <v>Lager</v>
      </c>
      <c r="G50" s="3" t="s">
        <v>4</v>
      </c>
      <c r="H50" s="17">
        <v>0.58333333333333337</v>
      </c>
      <c r="I50" s="17">
        <v>0.91666666666666663</v>
      </c>
      <c r="J50" s="18">
        <v>30</v>
      </c>
      <c r="K50" s="11">
        <f t="shared" si="8"/>
        <v>7.5</v>
      </c>
      <c r="L50" s="11">
        <f>IFERROR(VLOOKUP(D50,Mitarbeiter!$C$6:$I$13,6,FALSE),0)</f>
        <v>8</v>
      </c>
      <c r="M50" s="11">
        <f t="shared" si="9"/>
        <v>-0.5</v>
      </c>
      <c r="N50" s="12">
        <f>IFERROR(VLOOKUP(D50,Mitarbeiter!$C$6:$I$13,7,FALSE),0)</f>
        <v>19.2</v>
      </c>
      <c r="O50" s="12">
        <f t="shared" si="10"/>
        <v>144</v>
      </c>
      <c r="P50" s="3"/>
      <c r="Q50" s="3" t="s">
        <v>38</v>
      </c>
      <c r="R50" s="10" t="str">
        <f t="shared" si="11"/>
        <v>OK</v>
      </c>
      <c r="S50" s="19"/>
    </row>
    <row r="51" spans="1:19" ht="18" customHeight="1" x14ac:dyDescent="0.25">
      <c r="A51" s="16">
        <v>46091</v>
      </c>
      <c r="B51" s="10" t="str">
        <f t="shared" si="6"/>
        <v>martes</v>
      </c>
      <c r="C51" s="14" t="e">
        <f t="shared" ca="1" si="7"/>
        <v>#NAME?</v>
      </c>
      <c r="D51" s="3" t="s">
        <v>98</v>
      </c>
      <c r="E51" s="10" t="str">
        <f>IFERROR(VLOOKUP(D51,Mitarbeiter!$C$6:$I$13,2,FALSE),"")</f>
        <v>Verwaltung</v>
      </c>
      <c r="F51" s="10" t="str">
        <f>IFERROR(VLOOKUP(D51,Mitarbeiter!$C$6:$I$13,3,FALSE),"")</f>
        <v>Büro</v>
      </c>
      <c r="G51" s="3" t="s">
        <v>6</v>
      </c>
      <c r="H51" s="17">
        <v>0.375</v>
      </c>
      <c r="I51" s="17">
        <v>0.70833333333333337</v>
      </c>
      <c r="J51" s="18">
        <v>60</v>
      </c>
      <c r="K51" s="11">
        <f t="shared" si="8"/>
        <v>7</v>
      </c>
      <c r="L51" s="11">
        <f>IFERROR(VLOOKUP(D51,Mitarbeiter!$C$6:$I$13,6,FALSE),0)</f>
        <v>7.6</v>
      </c>
      <c r="M51" s="11">
        <f t="shared" si="9"/>
        <v>-0.59999999999999964</v>
      </c>
      <c r="N51" s="12">
        <f>IFERROR(VLOOKUP(D51,Mitarbeiter!$C$6:$I$13,7,FALSE),0)</f>
        <v>22</v>
      </c>
      <c r="O51" s="12">
        <f t="shared" si="10"/>
        <v>154</v>
      </c>
      <c r="P51" s="3"/>
      <c r="Q51" s="3" t="s">
        <v>38</v>
      </c>
      <c r="R51" s="10" t="str">
        <f t="shared" si="11"/>
        <v>OK</v>
      </c>
      <c r="S51" s="19"/>
    </row>
    <row r="52" spans="1:19" ht="18" customHeight="1" x14ac:dyDescent="0.25">
      <c r="A52" s="16">
        <v>46091</v>
      </c>
      <c r="B52" s="10" t="str">
        <f t="shared" si="6"/>
        <v>martes</v>
      </c>
      <c r="C52" s="14" t="e">
        <f t="shared" ca="1" si="7"/>
        <v>#NAME?</v>
      </c>
      <c r="D52" s="3" t="s">
        <v>112</v>
      </c>
      <c r="E52" s="10" t="str">
        <f>IFERROR(VLOOKUP(D52,Mitarbeiter!$C$6:$I$13,2,FALSE),"")</f>
        <v>Mitarbeiter</v>
      </c>
      <c r="F52" s="10" t="str">
        <f>IFERROR(VLOOKUP(D52,Mitarbeiter!$C$6:$I$13,3,FALSE),"")</f>
        <v>Produktion</v>
      </c>
      <c r="G52" s="3" t="s">
        <v>3</v>
      </c>
      <c r="H52" s="17">
        <v>0.25</v>
      </c>
      <c r="I52" s="17">
        <v>0.58333333333333337</v>
      </c>
      <c r="J52" s="18">
        <v>30</v>
      </c>
      <c r="K52" s="11">
        <f t="shared" si="8"/>
        <v>7.5</v>
      </c>
      <c r="L52" s="11">
        <f>IFERROR(VLOOKUP(D52,Mitarbeiter!$C$6:$I$13,6,FALSE),0)</f>
        <v>8</v>
      </c>
      <c r="M52" s="11">
        <f t="shared" si="9"/>
        <v>-0.5</v>
      </c>
      <c r="N52" s="12">
        <f>IFERROR(VLOOKUP(D52,Mitarbeiter!$C$6:$I$13,7,FALSE),0)</f>
        <v>19.8</v>
      </c>
      <c r="O52" s="12">
        <f t="shared" si="10"/>
        <v>148.5</v>
      </c>
      <c r="P52" s="3"/>
      <c r="Q52" s="3" t="s">
        <v>38</v>
      </c>
      <c r="R52" s="10" t="str">
        <f t="shared" si="11"/>
        <v>OK</v>
      </c>
      <c r="S52" s="19"/>
    </row>
    <row r="53" spans="1:19" ht="18" customHeight="1" x14ac:dyDescent="0.25">
      <c r="A53" s="16">
        <v>46091</v>
      </c>
      <c r="B53" s="10" t="str">
        <f t="shared" si="6"/>
        <v>martes</v>
      </c>
      <c r="C53" s="14" t="e">
        <f t="shared" ca="1" si="7"/>
        <v>#NAME?</v>
      </c>
      <c r="D53" s="3" t="s">
        <v>89</v>
      </c>
      <c r="E53" s="10" t="str">
        <f>IFERROR(VLOOKUP(D53,Mitarbeiter!$C$6:$I$13,2,FALSE),"")</f>
        <v>Mitarbeiter</v>
      </c>
      <c r="F53" s="10" t="str">
        <f>IFERROR(VLOOKUP(D53,Mitarbeiter!$C$6:$I$13,3,FALSE),"")</f>
        <v>Service</v>
      </c>
      <c r="G53" s="3" t="s">
        <v>8</v>
      </c>
      <c r="H53" s="17"/>
      <c r="I53" s="17"/>
      <c r="J53" s="18">
        <v>0</v>
      </c>
      <c r="K53" s="11">
        <f t="shared" si="8"/>
        <v>0</v>
      </c>
      <c r="L53" s="11">
        <f>IFERROR(VLOOKUP(D53,Mitarbeiter!$C$6:$I$13,6,FALSE),0)</f>
        <v>5</v>
      </c>
      <c r="M53" s="11">
        <f t="shared" si="9"/>
        <v>-5</v>
      </c>
      <c r="N53" s="12">
        <f>IFERROR(VLOOKUP(D53,Mitarbeiter!$C$6:$I$13,7,FALSE),0)</f>
        <v>17.8</v>
      </c>
      <c r="O53" s="12">
        <f t="shared" si="10"/>
        <v>0</v>
      </c>
      <c r="P53" s="3" t="s">
        <v>31</v>
      </c>
      <c r="Q53" s="3" t="s">
        <v>38</v>
      </c>
      <c r="R53" s="10" t="str">
        <f t="shared" si="11"/>
        <v>Ruhetag / Abwesenheit</v>
      </c>
      <c r="S53" s="19"/>
    </row>
    <row r="54" spans="1:19" ht="18" customHeight="1" x14ac:dyDescent="0.25">
      <c r="A54" s="16">
        <v>46092</v>
      </c>
      <c r="B54" s="10" t="str">
        <f t="shared" si="6"/>
        <v>miércoles</v>
      </c>
      <c r="C54" s="14" t="e">
        <f t="shared" ca="1" si="7"/>
        <v>#NAME?</v>
      </c>
      <c r="D54" s="3" t="s">
        <v>80</v>
      </c>
      <c r="E54" s="10" t="str">
        <f>IFERROR(VLOOKUP(D54,Mitarbeiter!$C$6:$I$13,2,FALSE),"")</f>
        <v>Teamleitung</v>
      </c>
      <c r="F54" s="10" t="str">
        <f>IFERROR(VLOOKUP(D54,Mitarbeiter!$C$6:$I$13,3,FALSE),"")</f>
        <v>Verkauf</v>
      </c>
      <c r="G54" s="3" t="s">
        <v>3</v>
      </c>
      <c r="H54" s="17">
        <v>0.25</v>
      </c>
      <c r="I54" s="17">
        <v>0.58333333333333337</v>
      </c>
      <c r="J54" s="18">
        <v>30</v>
      </c>
      <c r="K54" s="11">
        <f t="shared" si="8"/>
        <v>7.5</v>
      </c>
      <c r="L54" s="11">
        <f>IFERROR(VLOOKUP(D54,Mitarbeiter!$C$6:$I$13,6,FALSE),0)</f>
        <v>8</v>
      </c>
      <c r="M54" s="11">
        <f t="shared" si="9"/>
        <v>-0.5</v>
      </c>
      <c r="N54" s="12">
        <f>IFERROR(VLOOKUP(D54,Mitarbeiter!$C$6:$I$13,7,FALSE),0)</f>
        <v>24.5</v>
      </c>
      <c r="O54" s="12">
        <f t="shared" si="10"/>
        <v>183.75</v>
      </c>
      <c r="P54" s="3"/>
      <c r="Q54" s="3" t="s">
        <v>38</v>
      </c>
      <c r="R54" s="10" t="str">
        <f t="shared" si="11"/>
        <v>OK</v>
      </c>
      <c r="S54" s="19"/>
    </row>
    <row r="55" spans="1:19" ht="18" customHeight="1" x14ac:dyDescent="0.25">
      <c r="A55" s="16">
        <v>46092</v>
      </c>
      <c r="B55" s="10" t="str">
        <f t="shared" si="6"/>
        <v>miércoles</v>
      </c>
      <c r="C55" s="14" t="e">
        <f t="shared" ca="1" si="7"/>
        <v>#NAME?</v>
      </c>
      <c r="D55" s="3" t="s">
        <v>85</v>
      </c>
      <c r="E55" s="10" t="str">
        <f>IFERROR(VLOOKUP(D55,Mitarbeiter!$C$6:$I$13,2,FALSE),"")</f>
        <v>Mitarbeiter</v>
      </c>
      <c r="F55" s="10" t="str">
        <f>IFERROR(VLOOKUP(D55,Mitarbeiter!$C$6:$I$13,3,FALSE),"")</f>
        <v>Verkauf</v>
      </c>
      <c r="G55" s="3" t="s">
        <v>3</v>
      </c>
      <c r="H55" s="17">
        <v>0.25</v>
      </c>
      <c r="I55" s="17">
        <v>0.58333333333333337</v>
      </c>
      <c r="J55" s="18">
        <v>30</v>
      </c>
      <c r="K55" s="11">
        <f t="shared" si="8"/>
        <v>7.5</v>
      </c>
      <c r="L55" s="11">
        <f>IFERROR(VLOOKUP(D55,Mitarbeiter!$C$6:$I$13,6,FALSE),0)</f>
        <v>8</v>
      </c>
      <c r="M55" s="11">
        <f t="shared" si="9"/>
        <v>-0.5</v>
      </c>
      <c r="N55" s="12">
        <f>IFERROR(VLOOKUP(D55,Mitarbeiter!$C$6:$I$13,7,FALSE),0)</f>
        <v>18.5</v>
      </c>
      <c r="O55" s="12">
        <f t="shared" si="10"/>
        <v>138.75</v>
      </c>
      <c r="P55" s="3"/>
      <c r="Q55" s="3" t="s">
        <v>38</v>
      </c>
      <c r="R55" s="10" t="str">
        <f t="shared" si="11"/>
        <v>OK</v>
      </c>
      <c r="S55" s="19"/>
    </row>
    <row r="56" spans="1:19" ht="18" customHeight="1" x14ac:dyDescent="0.25">
      <c r="A56" s="16">
        <v>46092</v>
      </c>
      <c r="B56" s="10" t="str">
        <f t="shared" si="6"/>
        <v>miércoles</v>
      </c>
      <c r="C56" s="14" t="e">
        <f t="shared" ca="1" si="7"/>
        <v>#NAME?</v>
      </c>
      <c r="D56" s="3" t="s">
        <v>94</v>
      </c>
      <c r="E56" s="10" t="str">
        <f>IFERROR(VLOOKUP(D56,Mitarbeiter!$C$6:$I$13,2,FALSE),"")</f>
        <v>Mitarbeiter</v>
      </c>
      <c r="F56" s="10" t="str">
        <f>IFERROR(VLOOKUP(D56,Mitarbeiter!$C$6:$I$13,3,FALSE),"")</f>
        <v>Lager</v>
      </c>
      <c r="G56" s="3" t="s">
        <v>4</v>
      </c>
      <c r="H56" s="17">
        <v>0.58333333333333337</v>
      </c>
      <c r="I56" s="17">
        <v>0.91666666666666663</v>
      </c>
      <c r="J56" s="18">
        <v>30</v>
      </c>
      <c r="K56" s="11">
        <f t="shared" si="8"/>
        <v>7.5</v>
      </c>
      <c r="L56" s="11">
        <f>IFERROR(VLOOKUP(D56,Mitarbeiter!$C$6:$I$13,6,FALSE),0)</f>
        <v>8</v>
      </c>
      <c r="M56" s="11">
        <f t="shared" si="9"/>
        <v>-0.5</v>
      </c>
      <c r="N56" s="12">
        <f>IFERROR(VLOOKUP(D56,Mitarbeiter!$C$6:$I$13,7,FALSE),0)</f>
        <v>19.2</v>
      </c>
      <c r="O56" s="12">
        <f t="shared" si="10"/>
        <v>144</v>
      </c>
      <c r="P56" s="3"/>
      <c r="Q56" s="3" t="s">
        <v>38</v>
      </c>
      <c r="R56" s="10" t="str">
        <f t="shared" si="11"/>
        <v>OK</v>
      </c>
      <c r="S56" s="19"/>
    </row>
    <row r="57" spans="1:19" ht="18" customHeight="1" x14ac:dyDescent="0.25">
      <c r="A57" s="16">
        <v>46092</v>
      </c>
      <c r="B57" s="10" t="str">
        <f t="shared" si="6"/>
        <v>miércoles</v>
      </c>
      <c r="C57" s="14" t="e">
        <f t="shared" ca="1" si="7"/>
        <v>#NAME?</v>
      </c>
      <c r="D57" s="3" t="s">
        <v>98</v>
      </c>
      <c r="E57" s="10" t="str">
        <f>IFERROR(VLOOKUP(D57,Mitarbeiter!$C$6:$I$13,2,FALSE),"")</f>
        <v>Verwaltung</v>
      </c>
      <c r="F57" s="10" t="str">
        <f>IFERROR(VLOOKUP(D57,Mitarbeiter!$C$6:$I$13,3,FALSE),"")</f>
        <v>Büro</v>
      </c>
      <c r="G57" s="3" t="s">
        <v>6</v>
      </c>
      <c r="H57" s="17">
        <v>0.375</v>
      </c>
      <c r="I57" s="17">
        <v>0.70833333333333337</v>
      </c>
      <c r="J57" s="18">
        <v>60</v>
      </c>
      <c r="K57" s="11">
        <f t="shared" si="8"/>
        <v>7</v>
      </c>
      <c r="L57" s="11">
        <f>IFERROR(VLOOKUP(D57,Mitarbeiter!$C$6:$I$13,6,FALSE),0)</f>
        <v>7.6</v>
      </c>
      <c r="M57" s="11">
        <f t="shared" si="9"/>
        <v>-0.59999999999999964</v>
      </c>
      <c r="N57" s="12">
        <f>IFERROR(VLOOKUP(D57,Mitarbeiter!$C$6:$I$13,7,FALSE),0)</f>
        <v>22</v>
      </c>
      <c r="O57" s="12">
        <f t="shared" si="10"/>
        <v>154</v>
      </c>
      <c r="P57" s="3"/>
      <c r="Q57" s="3" t="s">
        <v>38</v>
      </c>
      <c r="R57" s="10" t="str">
        <f t="shared" si="11"/>
        <v>OK</v>
      </c>
      <c r="S57" s="19"/>
    </row>
    <row r="58" spans="1:19" ht="18" customHeight="1" x14ac:dyDescent="0.25">
      <c r="A58" s="16">
        <v>46092</v>
      </c>
      <c r="B58" s="10" t="str">
        <f t="shared" si="6"/>
        <v>miércoles</v>
      </c>
      <c r="C58" s="14" t="e">
        <f t="shared" ca="1" si="7"/>
        <v>#NAME?</v>
      </c>
      <c r="D58" s="3" t="s">
        <v>112</v>
      </c>
      <c r="E58" s="10" t="str">
        <f>IFERROR(VLOOKUP(D58,Mitarbeiter!$C$6:$I$13,2,FALSE),"")</f>
        <v>Mitarbeiter</v>
      </c>
      <c r="F58" s="10" t="str">
        <f>IFERROR(VLOOKUP(D58,Mitarbeiter!$C$6:$I$13,3,FALSE),"")</f>
        <v>Produktion</v>
      </c>
      <c r="G58" s="3" t="s">
        <v>3</v>
      </c>
      <c r="H58" s="17">
        <v>0.25</v>
      </c>
      <c r="I58" s="17">
        <v>0.58333333333333337</v>
      </c>
      <c r="J58" s="18">
        <v>30</v>
      </c>
      <c r="K58" s="11">
        <f t="shared" si="8"/>
        <v>7.5</v>
      </c>
      <c r="L58" s="11">
        <f>IFERROR(VLOOKUP(D58,Mitarbeiter!$C$6:$I$13,6,FALSE),0)</f>
        <v>8</v>
      </c>
      <c r="M58" s="11">
        <f t="shared" si="9"/>
        <v>-0.5</v>
      </c>
      <c r="N58" s="12">
        <f>IFERROR(VLOOKUP(D58,Mitarbeiter!$C$6:$I$13,7,FALSE),0)</f>
        <v>19.8</v>
      </c>
      <c r="O58" s="12">
        <f t="shared" si="10"/>
        <v>148.5</v>
      </c>
      <c r="P58" s="3"/>
      <c r="Q58" s="3" t="s">
        <v>38</v>
      </c>
      <c r="R58" s="10" t="str">
        <f t="shared" si="11"/>
        <v>OK</v>
      </c>
      <c r="S58" s="19"/>
    </row>
    <row r="59" spans="1:19" ht="18" customHeight="1" x14ac:dyDescent="0.25">
      <c r="A59" s="16">
        <v>46092</v>
      </c>
      <c r="B59" s="10" t="str">
        <f t="shared" si="6"/>
        <v>miércoles</v>
      </c>
      <c r="C59" s="14" t="e">
        <f t="shared" ca="1" si="7"/>
        <v>#NAME?</v>
      </c>
      <c r="D59" s="3" t="s">
        <v>108</v>
      </c>
      <c r="E59" s="10" t="str">
        <f>IFERROR(VLOOKUP(D59,Mitarbeiter!$C$6:$I$13,2,FALSE),"")</f>
        <v>Mitarbeiter</v>
      </c>
      <c r="F59" s="10" t="str">
        <f>IFERROR(VLOOKUP(D59,Mitarbeiter!$C$6:$I$13,3,FALSE),"")</f>
        <v>Pflege</v>
      </c>
      <c r="G59" s="3" t="s">
        <v>3</v>
      </c>
      <c r="H59" s="17">
        <v>0.29166666666666669</v>
      </c>
      <c r="I59" s="17">
        <v>0.54166666666666663</v>
      </c>
      <c r="J59" s="18">
        <v>30</v>
      </c>
      <c r="K59" s="11">
        <f t="shared" si="8"/>
        <v>5.5</v>
      </c>
      <c r="L59" s="11">
        <f>IFERROR(VLOOKUP(D59,Mitarbeiter!$C$6:$I$13,6,FALSE),0)</f>
        <v>6</v>
      </c>
      <c r="M59" s="11">
        <f t="shared" si="9"/>
        <v>-0.5</v>
      </c>
      <c r="N59" s="12">
        <f>IFERROR(VLOOKUP(D59,Mitarbeiter!$C$6:$I$13,7,FALSE),0)</f>
        <v>20.5</v>
      </c>
      <c r="O59" s="12">
        <f t="shared" si="10"/>
        <v>112.75</v>
      </c>
      <c r="P59" s="3"/>
      <c r="Q59" s="3" t="s">
        <v>38</v>
      </c>
      <c r="R59" s="10" t="str">
        <f t="shared" si="11"/>
        <v>OK</v>
      </c>
      <c r="S59" s="19"/>
    </row>
    <row r="60" spans="1:19" ht="18" customHeight="1" x14ac:dyDescent="0.25">
      <c r="A60" s="16">
        <v>46092</v>
      </c>
      <c r="B60" s="10" t="str">
        <f t="shared" si="6"/>
        <v>miércoles</v>
      </c>
      <c r="C60" s="14" t="e">
        <f t="shared" ca="1" si="7"/>
        <v>#NAME?</v>
      </c>
      <c r="D60" s="3" t="s">
        <v>89</v>
      </c>
      <c r="E60" s="10" t="str">
        <f>IFERROR(VLOOKUP(D60,Mitarbeiter!$C$6:$I$13,2,FALSE),"")</f>
        <v>Mitarbeiter</v>
      </c>
      <c r="F60" s="10" t="str">
        <f>IFERROR(VLOOKUP(D60,Mitarbeiter!$C$6:$I$13,3,FALSE),"")</f>
        <v>Service</v>
      </c>
      <c r="G60" s="3" t="s">
        <v>8</v>
      </c>
      <c r="H60" s="17"/>
      <c r="I60" s="17"/>
      <c r="J60" s="18">
        <v>0</v>
      </c>
      <c r="K60" s="11">
        <f t="shared" si="8"/>
        <v>0</v>
      </c>
      <c r="L60" s="11">
        <f>IFERROR(VLOOKUP(D60,Mitarbeiter!$C$6:$I$13,6,FALSE),0)</f>
        <v>5</v>
      </c>
      <c r="M60" s="11">
        <f t="shared" si="9"/>
        <v>-5</v>
      </c>
      <c r="N60" s="12">
        <f>IFERROR(VLOOKUP(D60,Mitarbeiter!$C$6:$I$13,7,FALSE),0)</f>
        <v>17.8</v>
      </c>
      <c r="O60" s="12">
        <f t="shared" si="10"/>
        <v>0</v>
      </c>
      <c r="P60" s="3" t="s">
        <v>31</v>
      </c>
      <c r="Q60" s="3" t="s">
        <v>38</v>
      </c>
      <c r="R60" s="10" t="str">
        <f t="shared" si="11"/>
        <v>Ruhetag / Abwesenheit</v>
      </c>
      <c r="S60" s="19"/>
    </row>
    <row r="61" spans="1:19" ht="18" customHeight="1" x14ac:dyDescent="0.25">
      <c r="A61" s="16">
        <v>46093</v>
      </c>
      <c r="B61" s="10" t="str">
        <f t="shared" si="6"/>
        <v>jueves</v>
      </c>
      <c r="C61" s="14" t="e">
        <f t="shared" ca="1" si="7"/>
        <v>#NAME?</v>
      </c>
      <c r="D61" s="3" t="s">
        <v>80</v>
      </c>
      <c r="E61" s="10" t="str">
        <f>IFERROR(VLOOKUP(D61,Mitarbeiter!$C$6:$I$13,2,FALSE),"")</f>
        <v>Teamleitung</v>
      </c>
      <c r="F61" s="10" t="str">
        <f>IFERROR(VLOOKUP(D61,Mitarbeiter!$C$6:$I$13,3,FALSE),"")</f>
        <v>Verkauf</v>
      </c>
      <c r="G61" s="3" t="s">
        <v>3</v>
      </c>
      <c r="H61" s="17">
        <v>0.25</v>
      </c>
      <c r="I61" s="17">
        <v>0.58333333333333337</v>
      </c>
      <c r="J61" s="18">
        <v>30</v>
      </c>
      <c r="K61" s="11">
        <f t="shared" si="8"/>
        <v>7.5</v>
      </c>
      <c r="L61" s="11">
        <f>IFERROR(VLOOKUP(D61,Mitarbeiter!$C$6:$I$13,6,FALSE),0)</f>
        <v>8</v>
      </c>
      <c r="M61" s="11">
        <f t="shared" si="9"/>
        <v>-0.5</v>
      </c>
      <c r="N61" s="12">
        <f>IFERROR(VLOOKUP(D61,Mitarbeiter!$C$6:$I$13,7,FALSE),0)</f>
        <v>24.5</v>
      </c>
      <c r="O61" s="12">
        <f t="shared" si="10"/>
        <v>183.75</v>
      </c>
      <c r="P61" s="3"/>
      <c r="Q61" s="3" t="s">
        <v>38</v>
      </c>
      <c r="R61" s="10" t="str">
        <f t="shared" si="11"/>
        <v>OK</v>
      </c>
      <c r="S61" s="19"/>
    </row>
    <row r="62" spans="1:19" ht="18" customHeight="1" x14ac:dyDescent="0.25">
      <c r="A62" s="16">
        <v>46093</v>
      </c>
      <c r="B62" s="10" t="str">
        <f t="shared" si="6"/>
        <v>jueves</v>
      </c>
      <c r="C62" s="14" t="e">
        <f t="shared" ca="1" si="7"/>
        <v>#NAME?</v>
      </c>
      <c r="D62" s="3" t="s">
        <v>85</v>
      </c>
      <c r="E62" s="10" t="str">
        <f>IFERROR(VLOOKUP(D62,Mitarbeiter!$C$6:$I$13,2,FALSE),"")</f>
        <v>Mitarbeiter</v>
      </c>
      <c r="F62" s="10" t="str">
        <f>IFERROR(VLOOKUP(D62,Mitarbeiter!$C$6:$I$13,3,FALSE),"")</f>
        <v>Verkauf</v>
      </c>
      <c r="G62" s="3" t="s">
        <v>3</v>
      </c>
      <c r="H62" s="17">
        <v>0.25</v>
      </c>
      <c r="I62" s="17">
        <v>0.58333333333333337</v>
      </c>
      <c r="J62" s="18">
        <v>30</v>
      </c>
      <c r="K62" s="11">
        <f t="shared" si="8"/>
        <v>7.5</v>
      </c>
      <c r="L62" s="11">
        <f>IFERROR(VLOOKUP(D62,Mitarbeiter!$C$6:$I$13,6,FALSE),0)</f>
        <v>8</v>
      </c>
      <c r="M62" s="11">
        <f t="shared" si="9"/>
        <v>-0.5</v>
      </c>
      <c r="N62" s="12">
        <f>IFERROR(VLOOKUP(D62,Mitarbeiter!$C$6:$I$13,7,FALSE),0)</f>
        <v>18.5</v>
      </c>
      <c r="O62" s="12">
        <f t="shared" si="10"/>
        <v>138.75</v>
      </c>
      <c r="P62" s="3"/>
      <c r="Q62" s="3" t="s">
        <v>38</v>
      </c>
      <c r="R62" s="10" t="str">
        <f t="shared" si="11"/>
        <v>OK</v>
      </c>
      <c r="S62" s="19"/>
    </row>
    <row r="63" spans="1:19" ht="18" customHeight="1" x14ac:dyDescent="0.25">
      <c r="A63" s="16">
        <v>46093</v>
      </c>
      <c r="B63" s="10" t="str">
        <f t="shared" si="6"/>
        <v>jueves</v>
      </c>
      <c r="C63" s="14" t="e">
        <f t="shared" ca="1" si="7"/>
        <v>#NAME?</v>
      </c>
      <c r="D63" s="3" t="s">
        <v>94</v>
      </c>
      <c r="E63" s="10" t="str">
        <f>IFERROR(VLOOKUP(D63,Mitarbeiter!$C$6:$I$13,2,FALSE),"")</f>
        <v>Mitarbeiter</v>
      </c>
      <c r="F63" s="10" t="str">
        <f>IFERROR(VLOOKUP(D63,Mitarbeiter!$C$6:$I$13,3,FALSE),"")</f>
        <v>Lager</v>
      </c>
      <c r="G63" s="3" t="s">
        <v>4</v>
      </c>
      <c r="H63" s="17">
        <v>0.58333333333333337</v>
      </c>
      <c r="I63" s="17">
        <v>0.91666666666666663</v>
      </c>
      <c r="J63" s="18">
        <v>30</v>
      </c>
      <c r="K63" s="11">
        <f t="shared" si="8"/>
        <v>7.5</v>
      </c>
      <c r="L63" s="11">
        <f>IFERROR(VLOOKUP(D63,Mitarbeiter!$C$6:$I$13,6,FALSE),0)</f>
        <v>8</v>
      </c>
      <c r="M63" s="11">
        <f t="shared" si="9"/>
        <v>-0.5</v>
      </c>
      <c r="N63" s="12">
        <f>IFERROR(VLOOKUP(D63,Mitarbeiter!$C$6:$I$13,7,FALSE),0)</f>
        <v>19.2</v>
      </c>
      <c r="O63" s="12">
        <f t="shared" si="10"/>
        <v>144</v>
      </c>
      <c r="P63" s="3"/>
      <c r="Q63" s="3" t="s">
        <v>38</v>
      </c>
      <c r="R63" s="10" t="str">
        <f t="shared" si="11"/>
        <v>OK</v>
      </c>
      <c r="S63" s="19"/>
    </row>
    <row r="64" spans="1:19" ht="18" customHeight="1" x14ac:dyDescent="0.25">
      <c r="A64" s="16">
        <v>46093</v>
      </c>
      <c r="B64" s="10" t="str">
        <f t="shared" si="6"/>
        <v>jueves</v>
      </c>
      <c r="C64" s="14" t="e">
        <f t="shared" ca="1" si="7"/>
        <v>#NAME?</v>
      </c>
      <c r="D64" s="3" t="s">
        <v>98</v>
      </c>
      <c r="E64" s="10" t="str">
        <f>IFERROR(VLOOKUP(D64,Mitarbeiter!$C$6:$I$13,2,FALSE),"")</f>
        <v>Verwaltung</v>
      </c>
      <c r="F64" s="10" t="str">
        <f>IFERROR(VLOOKUP(D64,Mitarbeiter!$C$6:$I$13,3,FALSE),"")</f>
        <v>Büro</v>
      </c>
      <c r="G64" s="3" t="s">
        <v>6</v>
      </c>
      <c r="H64" s="17">
        <v>0.375</v>
      </c>
      <c r="I64" s="17">
        <v>0.70833333333333337</v>
      </c>
      <c r="J64" s="18">
        <v>60</v>
      </c>
      <c r="K64" s="11">
        <f t="shared" si="8"/>
        <v>7</v>
      </c>
      <c r="L64" s="11">
        <f>IFERROR(VLOOKUP(D64,Mitarbeiter!$C$6:$I$13,6,FALSE),0)</f>
        <v>7.6</v>
      </c>
      <c r="M64" s="11">
        <f t="shared" si="9"/>
        <v>-0.59999999999999964</v>
      </c>
      <c r="N64" s="12">
        <f>IFERROR(VLOOKUP(D64,Mitarbeiter!$C$6:$I$13,7,FALSE),0)</f>
        <v>22</v>
      </c>
      <c r="O64" s="12">
        <f t="shared" si="10"/>
        <v>154</v>
      </c>
      <c r="P64" s="3"/>
      <c r="Q64" s="3" t="s">
        <v>38</v>
      </c>
      <c r="R64" s="10" t="str">
        <f t="shared" si="11"/>
        <v>OK</v>
      </c>
      <c r="S64" s="19"/>
    </row>
    <row r="65" spans="1:19" ht="18" customHeight="1" x14ac:dyDescent="0.25">
      <c r="A65" s="16">
        <v>46093</v>
      </c>
      <c r="B65" s="10" t="str">
        <f t="shared" si="6"/>
        <v>jueves</v>
      </c>
      <c r="C65" s="14" t="e">
        <f t="shared" ca="1" si="7"/>
        <v>#NAME?</v>
      </c>
      <c r="D65" s="3" t="s">
        <v>112</v>
      </c>
      <c r="E65" s="10" t="str">
        <f>IFERROR(VLOOKUP(D65,Mitarbeiter!$C$6:$I$13,2,FALSE),"")</f>
        <v>Mitarbeiter</v>
      </c>
      <c r="F65" s="10" t="str">
        <f>IFERROR(VLOOKUP(D65,Mitarbeiter!$C$6:$I$13,3,FALSE),"")</f>
        <v>Produktion</v>
      </c>
      <c r="G65" s="3" t="s">
        <v>3</v>
      </c>
      <c r="H65" s="17">
        <v>0.25</v>
      </c>
      <c r="I65" s="17">
        <v>0.58333333333333337</v>
      </c>
      <c r="J65" s="18">
        <v>30</v>
      </c>
      <c r="K65" s="11">
        <f t="shared" si="8"/>
        <v>7.5</v>
      </c>
      <c r="L65" s="11">
        <f>IFERROR(VLOOKUP(D65,Mitarbeiter!$C$6:$I$13,6,FALSE),0)</f>
        <v>8</v>
      </c>
      <c r="M65" s="11">
        <f t="shared" si="9"/>
        <v>-0.5</v>
      </c>
      <c r="N65" s="12">
        <f>IFERROR(VLOOKUP(D65,Mitarbeiter!$C$6:$I$13,7,FALSE),0)</f>
        <v>19.8</v>
      </c>
      <c r="O65" s="12">
        <f t="shared" si="10"/>
        <v>148.5</v>
      </c>
      <c r="P65" s="3"/>
      <c r="Q65" s="3" t="s">
        <v>38</v>
      </c>
      <c r="R65" s="10" t="str">
        <f t="shared" si="11"/>
        <v>OK</v>
      </c>
      <c r="S65" s="19"/>
    </row>
    <row r="66" spans="1:19" ht="18" customHeight="1" x14ac:dyDescent="0.25">
      <c r="A66" s="16">
        <v>46093</v>
      </c>
      <c r="B66" s="10" t="str">
        <f t="shared" si="6"/>
        <v>jueves</v>
      </c>
      <c r="C66" s="14" t="e">
        <f t="shared" ca="1" si="7"/>
        <v>#NAME?</v>
      </c>
      <c r="D66" s="3" t="s">
        <v>89</v>
      </c>
      <c r="E66" s="10" t="str">
        <f>IFERROR(VLOOKUP(D66,Mitarbeiter!$C$6:$I$13,2,FALSE),"")</f>
        <v>Mitarbeiter</v>
      </c>
      <c r="F66" s="10" t="str">
        <f>IFERROR(VLOOKUP(D66,Mitarbeiter!$C$6:$I$13,3,FALSE),"")</f>
        <v>Service</v>
      </c>
      <c r="G66" s="3" t="s">
        <v>8</v>
      </c>
      <c r="H66" s="17"/>
      <c r="I66" s="17"/>
      <c r="J66" s="18">
        <v>0</v>
      </c>
      <c r="K66" s="11">
        <f t="shared" si="8"/>
        <v>0</v>
      </c>
      <c r="L66" s="11">
        <f>IFERROR(VLOOKUP(D66,Mitarbeiter!$C$6:$I$13,6,FALSE),0)</f>
        <v>5</v>
      </c>
      <c r="M66" s="11">
        <f t="shared" si="9"/>
        <v>-5</v>
      </c>
      <c r="N66" s="12">
        <f>IFERROR(VLOOKUP(D66,Mitarbeiter!$C$6:$I$13,7,FALSE),0)</f>
        <v>17.8</v>
      </c>
      <c r="O66" s="12">
        <f t="shared" si="10"/>
        <v>0</v>
      </c>
      <c r="P66" s="3" t="s">
        <v>31</v>
      </c>
      <c r="Q66" s="3" t="s">
        <v>38</v>
      </c>
      <c r="R66" s="10" t="str">
        <f t="shared" si="11"/>
        <v>Ruhetag / Abwesenheit</v>
      </c>
      <c r="S66" s="19"/>
    </row>
    <row r="67" spans="1:19" ht="18" customHeight="1" x14ac:dyDescent="0.25">
      <c r="A67" s="16">
        <v>46093</v>
      </c>
      <c r="B67" s="10" t="str">
        <f t="shared" si="6"/>
        <v>jueves</v>
      </c>
      <c r="C67" s="14" t="e">
        <f t="shared" ca="1" si="7"/>
        <v>#NAME?</v>
      </c>
      <c r="D67" s="3" t="s">
        <v>103</v>
      </c>
      <c r="E67" s="10" t="str">
        <f>IFERROR(VLOOKUP(D67,Mitarbeiter!$C$6:$I$13,2,FALSE),"")</f>
        <v>Aushilfe</v>
      </c>
      <c r="F67" s="10" t="str">
        <f>IFERROR(VLOOKUP(D67,Mitarbeiter!$C$6:$I$13,3,FALSE),"")</f>
        <v>Service</v>
      </c>
      <c r="G67" s="3" t="s">
        <v>7</v>
      </c>
      <c r="H67" s="17">
        <v>0.375</v>
      </c>
      <c r="I67" s="17">
        <v>0.54166666666666663</v>
      </c>
      <c r="J67" s="18">
        <v>0</v>
      </c>
      <c r="K67" s="11">
        <f t="shared" si="8"/>
        <v>4</v>
      </c>
      <c r="L67" s="11">
        <f>IFERROR(VLOOKUP(D67,Mitarbeiter!$C$6:$I$13,6,FALSE),0)</f>
        <v>4</v>
      </c>
      <c r="M67" s="11">
        <f t="shared" si="9"/>
        <v>0</v>
      </c>
      <c r="N67" s="12">
        <f>IFERROR(VLOOKUP(D67,Mitarbeiter!$C$6:$I$13,7,FALSE),0)</f>
        <v>15</v>
      </c>
      <c r="O67" s="12">
        <f t="shared" si="10"/>
        <v>60</v>
      </c>
      <c r="P67" s="3"/>
      <c r="Q67" s="3" t="s">
        <v>38</v>
      </c>
      <c r="R67" s="10" t="str">
        <f t="shared" si="11"/>
        <v>OK</v>
      </c>
      <c r="S67" s="19"/>
    </row>
    <row r="68" spans="1:19" ht="18" customHeight="1" x14ac:dyDescent="0.25">
      <c r="A68" s="16">
        <v>46094</v>
      </c>
      <c r="B68" s="10" t="str">
        <f t="shared" si="6"/>
        <v>viernes</v>
      </c>
      <c r="C68" s="14" t="e">
        <f t="shared" ca="1" si="7"/>
        <v>#NAME?</v>
      </c>
      <c r="D68" s="3" t="s">
        <v>80</v>
      </c>
      <c r="E68" s="10" t="str">
        <f>IFERROR(VLOOKUP(D68,Mitarbeiter!$C$6:$I$13,2,FALSE),"")</f>
        <v>Teamleitung</v>
      </c>
      <c r="F68" s="10" t="str">
        <f>IFERROR(VLOOKUP(D68,Mitarbeiter!$C$6:$I$13,3,FALSE),"")</f>
        <v>Verkauf</v>
      </c>
      <c r="G68" s="3" t="s">
        <v>3</v>
      </c>
      <c r="H68" s="17">
        <v>0.25</v>
      </c>
      <c r="I68" s="17">
        <v>0.58333333333333337</v>
      </c>
      <c r="J68" s="18">
        <v>30</v>
      </c>
      <c r="K68" s="11">
        <f t="shared" si="8"/>
        <v>7.5</v>
      </c>
      <c r="L68" s="11">
        <f>IFERROR(VLOOKUP(D68,Mitarbeiter!$C$6:$I$13,6,FALSE),0)</f>
        <v>8</v>
      </c>
      <c r="M68" s="11">
        <f t="shared" si="9"/>
        <v>-0.5</v>
      </c>
      <c r="N68" s="12">
        <f>IFERROR(VLOOKUP(D68,Mitarbeiter!$C$6:$I$13,7,FALSE),0)</f>
        <v>24.5</v>
      </c>
      <c r="O68" s="12">
        <f t="shared" si="10"/>
        <v>183.75</v>
      </c>
      <c r="P68" s="3"/>
      <c r="Q68" s="3" t="s">
        <v>38</v>
      </c>
      <c r="R68" s="10" t="str">
        <f t="shared" si="11"/>
        <v>OK</v>
      </c>
      <c r="S68" s="19"/>
    </row>
    <row r="69" spans="1:19" ht="18" customHeight="1" x14ac:dyDescent="0.25">
      <c r="A69" s="16">
        <v>46094</v>
      </c>
      <c r="B69" s="10" t="str">
        <f t="shared" si="6"/>
        <v>viernes</v>
      </c>
      <c r="C69" s="14" t="e">
        <f t="shared" ca="1" si="7"/>
        <v>#NAME?</v>
      </c>
      <c r="D69" s="3" t="s">
        <v>85</v>
      </c>
      <c r="E69" s="10" t="str">
        <f>IFERROR(VLOOKUP(D69,Mitarbeiter!$C$6:$I$13,2,FALSE),"")</f>
        <v>Mitarbeiter</v>
      </c>
      <c r="F69" s="10" t="str">
        <f>IFERROR(VLOOKUP(D69,Mitarbeiter!$C$6:$I$13,3,FALSE),"")</f>
        <v>Verkauf</v>
      </c>
      <c r="G69" s="3" t="s">
        <v>3</v>
      </c>
      <c r="H69" s="17">
        <v>0.25</v>
      </c>
      <c r="I69" s="17">
        <v>0.58333333333333337</v>
      </c>
      <c r="J69" s="18">
        <v>30</v>
      </c>
      <c r="K69" s="11">
        <f t="shared" si="8"/>
        <v>7.5</v>
      </c>
      <c r="L69" s="11">
        <f>IFERROR(VLOOKUP(D69,Mitarbeiter!$C$6:$I$13,6,FALSE),0)</f>
        <v>8</v>
      </c>
      <c r="M69" s="11">
        <f t="shared" si="9"/>
        <v>-0.5</v>
      </c>
      <c r="N69" s="12">
        <f>IFERROR(VLOOKUP(D69,Mitarbeiter!$C$6:$I$13,7,FALSE),0)</f>
        <v>18.5</v>
      </c>
      <c r="O69" s="12">
        <f t="shared" si="10"/>
        <v>138.75</v>
      </c>
      <c r="P69" s="3"/>
      <c r="Q69" s="3" t="s">
        <v>38</v>
      </c>
      <c r="R69" s="10" t="str">
        <f t="shared" si="11"/>
        <v>OK</v>
      </c>
      <c r="S69" s="19"/>
    </row>
    <row r="70" spans="1:19" ht="18" customHeight="1" x14ac:dyDescent="0.25">
      <c r="A70" s="16">
        <v>46094</v>
      </c>
      <c r="B70" s="10" t="str">
        <f t="shared" ref="B70:B101" si="12">TEXT(A70,"dddd")</f>
        <v>viernes</v>
      </c>
      <c r="C70" s="14" t="e">
        <f t="shared" ref="C70:C101" ca="1" si="13">_xludf.ISOWEEKNUM(A70)</f>
        <v>#NAME?</v>
      </c>
      <c r="D70" s="3" t="s">
        <v>94</v>
      </c>
      <c r="E70" s="10" t="str">
        <f>IFERROR(VLOOKUP(D70,Mitarbeiter!$C$6:$I$13,2,FALSE),"")</f>
        <v>Mitarbeiter</v>
      </c>
      <c r="F70" s="10" t="str">
        <f>IFERROR(VLOOKUP(D70,Mitarbeiter!$C$6:$I$13,3,FALSE),"")</f>
        <v>Lager</v>
      </c>
      <c r="G70" s="3" t="s">
        <v>4</v>
      </c>
      <c r="H70" s="17">
        <v>0.58333333333333337</v>
      </c>
      <c r="I70" s="17">
        <v>0.91666666666666663</v>
      </c>
      <c r="J70" s="18">
        <v>30</v>
      </c>
      <c r="K70" s="11">
        <f t="shared" ref="K70:K101" si="14">IF(OR(P70="Urlaub",P70="Krankheit",P70="Frei",P70="Feiertag"),0,IF(OR(H70="",I70=""),0,ROUND((MOD(I70-H70,1)*24)-(J70/60),2)))</f>
        <v>7.5</v>
      </c>
      <c r="L70" s="11">
        <f>IFERROR(VLOOKUP(D70,Mitarbeiter!$C$6:$I$13,6,FALSE),0)</f>
        <v>8</v>
      </c>
      <c r="M70" s="11">
        <f t="shared" ref="M70:M101" si="15">K70-L70</f>
        <v>-0.5</v>
      </c>
      <c r="N70" s="12">
        <f>IFERROR(VLOOKUP(D70,Mitarbeiter!$C$6:$I$13,7,FALSE),0)</f>
        <v>19.2</v>
      </c>
      <c r="O70" s="12">
        <f t="shared" ref="O70:O101" si="16">K70*N70</f>
        <v>144</v>
      </c>
      <c r="P70" s="3"/>
      <c r="Q70" s="3" t="s">
        <v>38</v>
      </c>
      <c r="R70" s="10" t="str">
        <f t="shared" ref="R70:R101" si="17">IF(P70&lt;&gt;"","Ruhetag / Abwesenheit",IF(M70&gt;2,"Überstunden",IF(M70&lt;-2,"Unter Soll","OK")))</f>
        <v>OK</v>
      </c>
      <c r="S70" s="19"/>
    </row>
    <row r="71" spans="1:19" ht="18" customHeight="1" x14ac:dyDescent="0.25">
      <c r="A71" s="16">
        <v>46094</v>
      </c>
      <c r="B71" s="10" t="str">
        <f t="shared" si="12"/>
        <v>viernes</v>
      </c>
      <c r="C71" s="14" t="e">
        <f t="shared" ca="1" si="13"/>
        <v>#NAME?</v>
      </c>
      <c r="D71" s="3" t="s">
        <v>98</v>
      </c>
      <c r="E71" s="10" t="str">
        <f>IFERROR(VLOOKUP(D71,Mitarbeiter!$C$6:$I$13,2,FALSE),"")</f>
        <v>Verwaltung</v>
      </c>
      <c r="F71" s="10" t="str">
        <f>IFERROR(VLOOKUP(D71,Mitarbeiter!$C$6:$I$13,3,FALSE),"")</f>
        <v>Büro</v>
      </c>
      <c r="G71" s="3" t="s">
        <v>6</v>
      </c>
      <c r="H71" s="17">
        <v>0.375</v>
      </c>
      <c r="I71" s="17">
        <v>0.70833333333333337</v>
      </c>
      <c r="J71" s="18">
        <v>60</v>
      </c>
      <c r="K71" s="11">
        <f t="shared" si="14"/>
        <v>7</v>
      </c>
      <c r="L71" s="11">
        <f>IFERROR(VLOOKUP(D71,Mitarbeiter!$C$6:$I$13,6,FALSE),0)</f>
        <v>7.6</v>
      </c>
      <c r="M71" s="11">
        <f t="shared" si="15"/>
        <v>-0.59999999999999964</v>
      </c>
      <c r="N71" s="12">
        <f>IFERROR(VLOOKUP(D71,Mitarbeiter!$C$6:$I$13,7,FALSE),0)</f>
        <v>22</v>
      </c>
      <c r="O71" s="12">
        <f t="shared" si="16"/>
        <v>154</v>
      </c>
      <c r="P71" s="3"/>
      <c r="Q71" s="3" t="s">
        <v>38</v>
      </c>
      <c r="R71" s="10" t="str">
        <f t="shared" si="17"/>
        <v>OK</v>
      </c>
      <c r="S71" s="19"/>
    </row>
    <row r="72" spans="1:19" ht="18" customHeight="1" x14ac:dyDescent="0.25">
      <c r="A72" s="16">
        <v>46094</v>
      </c>
      <c r="B72" s="10" t="str">
        <f t="shared" si="12"/>
        <v>viernes</v>
      </c>
      <c r="C72" s="14" t="e">
        <f t="shared" ca="1" si="13"/>
        <v>#NAME?</v>
      </c>
      <c r="D72" s="3" t="s">
        <v>112</v>
      </c>
      <c r="E72" s="10" t="str">
        <f>IFERROR(VLOOKUP(D72,Mitarbeiter!$C$6:$I$13,2,FALSE),"")</f>
        <v>Mitarbeiter</v>
      </c>
      <c r="F72" s="10" t="str">
        <f>IFERROR(VLOOKUP(D72,Mitarbeiter!$C$6:$I$13,3,FALSE),"")</f>
        <v>Produktion</v>
      </c>
      <c r="G72" s="3" t="s">
        <v>3</v>
      </c>
      <c r="H72" s="17">
        <v>0.25</v>
      </c>
      <c r="I72" s="17">
        <v>0.58333333333333337</v>
      </c>
      <c r="J72" s="18">
        <v>30</v>
      </c>
      <c r="K72" s="11">
        <f t="shared" si="14"/>
        <v>7.5</v>
      </c>
      <c r="L72" s="11">
        <f>IFERROR(VLOOKUP(D72,Mitarbeiter!$C$6:$I$13,6,FALSE),0)</f>
        <v>8</v>
      </c>
      <c r="M72" s="11">
        <f t="shared" si="15"/>
        <v>-0.5</v>
      </c>
      <c r="N72" s="12">
        <f>IFERROR(VLOOKUP(D72,Mitarbeiter!$C$6:$I$13,7,FALSE),0)</f>
        <v>19.8</v>
      </c>
      <c r="O72" s="12">
        <f t="shared" si="16"/>
        <v>148.5</v>
      </c>
      <c r="P72" s="3"/>
      <c r="Q72" s="3" t="s">
        <v>38</v>
      </c>
      <c r="R72" s="10" t="str">
        <f t="shared" si="17"/>
        <v>OK</v>
      </c>
      <c r="S72" s="19"/>
    </row>
    <row r="73" spans="1:19" ht="18" customHeight="1" x14ac:dyDescent="0.25">
      <c r="A73" s="16">
        <v>46095</v>
      </c>
      <c r="B73" s="10" t="str">
        <f t="shared" si="12"/>
        <v>sábado</v>
      </c>
      <c r="C73" s="14" t="e">
        <f t="shared" ca="1" si="13"/>
        <v>#NAME?</v>
      </c>
      <c r="D73" s="3" t="s">
        <v>103</v>
      </c>
      <c r="E73" s="10" t="str">
        <f>IFERROR(VLOOKUP(D73,Mitarbeiter!$C$6:$I$13,2,FALSE),"")</f>
        <v>Aushilfe</v>
      </c>
      <c r="F73" s="10" t="str">
        <f>IFERROR(VLOOKUP(D73,Mitarbeiter!$C$6:$I$13,3,FALSE),"")</f>
        <v>Service</v>
      </c>
      <c r="G73" s="3" t="s">
        <v>7</v>
      </c>
      <c r="H73" s="17">
        <v>0.375</v>
      </c>
      <c r="I73" s="17">
        <v>0.54166666666666663</v>
      </c>
      <c r="J73" s="18">
        <v>0</v>
      </c>
      <c r="K73" s="11">
        <f t="shared" si="14"/>
        <v>4</v>
      </c>
      <c r="L73" s="11">
        <f>IFERROR(VLOOKUP(D73,Mitarbeiter!$C$6:$I$13,6,FALSE),0)</f>
        <v>4</v>
      </c>
      <c r="M73" s="11">
        <f t="shared" si="15"/>
        <v>0</v>
      </c>
      <c r="N73" s="12">
        <f>IFERROR(VLOOKUP(D73,Mitarbeiter!$C$6:$I$13,7,FALSE),0)</f>
        <v>15</v>
      </c>
      <c r="O73" s="12">
        <f t="shared" si="16"/>
        <v>60</v>
      </c>
      <c r="P73" s="3"/>
      <c r="Q73" s="3" t="s">
        <v>38</v>
      </c>
      <c r="R73" s="10" t="str">
        <f t="shared" si="17"/>
        <v>OK</v>
      </c>
      <c r="S73" s="19"/>
    </row>
    <row r="74" spans="1:19" ht="18" customHeight="1" x14ac:dyDescent="0.25">
      <c r="A74" s="16">
        <v>46095</v>
      </c>
      <c r="B74" s="10" t="str">
        <f t="shared" si="12"/>
        <v>sábado</v>
      </c>
      <c r="C74" s="14" t="e">
        <f t="shared" ca="1" si="13"/>
        <v>#NAME?</v>
      </c>
      <c r="D74" s="3" t="s">
        <v>89</v>
      </c>
      <c r="E74" s="10" t="str">
        <f>IFERROR(VLOOKUP(D74,Mitarbeiter!$C$6:$I$13,2,FALSE),"")</f>
        <v>Mitarbeiter</v>
      </c>
      <c r="F74" s="10" t="str">
        <f>IFERROR(VLOOKUP(D74,Mitarbeiter!$C$6:$I$13,3,FALSE),"")</f>
        <v>Service</v>
      </c>
      <c r="G74" s="3" t="s">
        <v>7</v>
      </c>
      <c r="H74" s="17">
        <v>0.375</v>
      </c>
      <c r="I74" s="17">
        <v>0.58333333333333337</v>
      </c>
      <c r="J74" s="18">
        <v>0</v>
      </c>
      <c r="K74" s="11">
        <f t="shared" si="14"/>
        <v>5</v>
      </c>
      <c r="L74" s="11">
        <f>IFERROR(VLOOKUP(D74,Mitarbeiter!$C$6:$I$13,6,FALSE),0)</f>
        <v>5</v>
      </c>
      <c r="M74" s="11">
        <f t="shared" si="15"/>
        <v>0</v>
      </c>
      <c r="N74" s="12">
        <f>IFERROR(VLOOKUP(D74,Mitarbeiter!$C$6:$I$13,7,FALSE),0)</f>
        <v>17.8</v>
      </c>
      <c r="O74" s="12">
        <f t="shared" si="16"/>
        <v>89</v>
      </c>
      <c r="P74" s="3"/>
      <c r="Q74" s="3" t="s">
        <v>38</v>
      </c>
      <c r="R74" s="10" t="str">
        <f t="shared" si="17"/>
        <v>OK</v>
      </c>
      <c r="S74" s="19"/>
    </row>
    <row r="75" spans="1:19" ht="18" customHeight="1" x14ac:dyDescent="0.25">
      <c r="A75" s="16">
        <v>46096</v>
      </c>
      <c r="B75" s="10" t="str">
        <f t="shared" si="12"/>
        <v>domingo</v>
      </c>
      <c r="C75" s="14" t="e">
        <f t="shared" ca="1" si="13"/>
        <v>#NAME?</v>
      </c>
      <c r="D75" s="3" t="s">
        <v>103</v>
      </c>
      <c r="E75" s="10" t="str">
        <f>IFERROR(VLOOKUP(D75,Mitarbeiter!$C$6:$I$13,2,FALSE),"")</f>
        <v>Aushilfe</v>
      </c>
      <c r="F75" s="10" t="str">
        <f>IFERROR(VLOOKUP(D75,Mitarbeiter!$C$6:$I$13,3,FALSE),"")</f>
        <v>Service</v>
      </c>
      <c r="G75" s="3" t="s">
        <v>7</v>
      </c>
      <c r="H75" s="17">
        <v>0.375</v>
      </c>
      <c r="I75" s="17">
        <v>0.54166666666666663</v>
      </c>
      <c r="J75" s="18">
        <v>0</v>
      </c>
      <c r="K75" s="11">
        <f t="shared" si="14"/>
        <v>4</v>
      </c>
      <c r="L75" s="11">
        <f>IFERROR(VLOOKUP(D75,Mitarbeiter!$C$6:$I$13,6,FALSE),0)</f>
        <v>4</v>
      </c>
      <c r="M75" s="11">
        <f t="shared" si="15"/>
        <v>0</v>
      </c>
      <c r="N75" s="12">
        <f>IFERROR(VLOOKUP(D75,Mitarbeiter!$C$6:$I$13,7,FALSE),0)</f>
        <v>15</v>
      </c>
      <c r="O75" s="12">
        <f t="shared" si="16"/>
        <v>60</v>
      </c>
      <c r="P75" s="3"/>
      <c r="Q75" s="3" t="s">
        <v>38</v>
      </c>
      <c r="R75" s="10" t="str">
        <f t="shared" si="17"/>
        <v>OK</v>
      </c>
      <c r="S75" s="19"/>
    </row>
    <row r="76" spans="1:19" ht="18" customHeight="1" x14ac:dyDescent="0.25">
      <c r="A76" s="16">
        <v>46096</v>
      </c>
      <c r="B76" s="10" t="str">
        <f t="shared" si="12"/>
        <v>domingo</v>
      </c>
      <c r="C76" s="14" t="e">
        <f t="shared" ca="1" si="13"/>
        <v>#NAME?</v>
      </c>
      <c r="D76" s="3" t="s">
        <v>89</v>
      </c>
      <c r="E76" s="10" t="str">
        <f>IFERROR(VLOOKUP(D76,Mitarbeiter!$C$6:$I$13,2,FALSE),"")</f>
        <v>Mitarbeiter</v>
      </c>
      <c r="F76" s="10" t="str">
        <f>IFERROR(VLOOKUP(D76,Mitarbeiter!$C$6:$I$13,3,FALSE),"")</f>
        <v>Service</v>
      </c>
      <c r="G76" s="3" t="s">
        <v>7</v>
      </c>
      <c r="H76" s="17">
        <v>0.375</v>
      </c>
      <c r="I76" s="17">
        <v>0.58333333333333337</v>
      </c>
      <c r="J76" s="18">
        <v>0</v>
      </c>
      <c r="K76" s="11">
        <f t="shared" si="14"/>
        <v>5</v>
      </c>
      <c r="L76" s="11">
        <f>IFERROR(VLOOKUP(D76,Mitarbeiter!$C$6:$I$13,6,FALSE),0)</f>
        <v>5</v>
      </c>
      <c r="M76" s="11">
        <f t="shared" si="15"/>
        <v>0</v>
      </c>
      <c r="N76" s="12">
        <f>IFERROR(VLOOKUP(D76,Mitarbeiter!$C$6:$I$13,7,FALSE),0)</f>
        <v>17.8</v>
      </c>
      <c r="O76" s="12">
        <f t="shared" si="16"/>
        <v>89</v>
      </c>
      <c r="P76" s="3"/>
      <c r="Q76" s="3" t="s">
        <v>38</v>
      </c>
      <c r="R76" s="10" t="str">
        <f t="shared" si="17"/>
        <v>OK</v>
      </c>
      <c r="S76" s="19"/>
    </row>
    <row r="77" spans="1:19" ht="18" customHeight="1" x14ac:dyDescent="0.25">
      <c r="A77" s="16">
        <v>46097</v>
      </c>
      <c r="B77" s="10" t="str">
        <f t="shared" si="12"/>
        <v>lunes</v>
      </c>
      <c r="C77" s="14" t="e">
        <f t="shared" ca="1" si="13"/>
        <v>#NAME?</v>
      </c>
      <c r="D77" s="3" t="s">
        <v>80</v>
      </c>
      <c r="E77" s="10" t="str">
        <f>IFERROR(VLOOKUP(D77,Mitarbeiter!$C$6:$I$13,2,FALSE),"")</f>
        <v>Teamleitung</v>
      </c>
      <c r="F77" s="10" t="str">
        <f>IFERROR(VLOOKUP(D77,Mitarbeiter!$C$6:$I$13,3,FALSE),"")</f>
        <v>Verkauf</v>
      </c>
      <c r="G77" s="3" t="s">
        <v>3</v>
      </c>
      <c r="H77" s="17">
        <v>0.25</v>
      </c>
      <c r="I77" s="17">
        <v>0.58333333333333337</v>
      </c>
      <c r="J77" s="18">
        <v>30</v>
      </c>
      <c r="K77" s="11">
        <f t="shared" si="14"/>
        <v>7.5</v>
      </c>
      <c r="L77" s="11">
        <f>IFERROR(VLOOKUP(D77,Mitarbeiter!$C$6:$I$13,6,FALSE),0)</f>
        <v>8</v>
      </c>
      <c r="M77" s="11">
        <f t="shared" si="15"/>
        <v>-0.5</v>
      </c>
      <c r="N77" s="12">
        <f>IFERROR(VLOOKUP(D77,Mitarbeiter!$C$6:$I$13,7,FALSE),0)</f>
        <v>24.5</v>
      </c>
      <c r="O77" s="12">
        <f t="shared" si="16"/>
        <v>183.75</v>
      </c>
      <c r="P77" s="3"/>
      <c r="Q77" s="3" t="s">
        <v>38</v>
      </c>
      <c r="R77" s="10" t="str">
        <f t="shared" si="17"/>
        <v>OK</v>
      </c>
      <c r="S77" s="19"/>
    </row>
    <row r="78" spans="1:19" ht="18" customHeight="1" x14ac:dyDescent="0.25">
      <c r="A78" s="16">
        <v>46097</v>
      </c>
      <c r="B78" s="10" t="str">
        <f t="shared" si="12"/>
        <v>lunes</v>
      </c>
      <c r="C78" s="14" t="e">
        <f t="shared" ca="1" si="13"/>
        <v>#NAME?</v>
      </c>
      <c r="D78" s="3" t="s">
        <v>85</v>
      </c>
      <c r="E78" s="10" t="str">
        <f>IFERROR(VLOOKUP(D78,Mitarbeiter!$C$6:$I$13,2,FALSE),"")</f>
        <v>Mitarbeiter</v>
      </c>
      <c r="F78" s="10" t="str">
        <f>IFERROR(VLOOKUP(D78,Mitarbeiter!$C$6:$I$13,3,FALSE),"")</f>
        <v>Verkauf</v>
      </c>
      <c r="G78" s="3" t="s">
        <v>3</v>
      </c>
      <c r="H78" s="17">
        <v>0.25</v>
      </c>
      <c r="I78" s="17">
        <v>0.58333333333333337</v>
      </c>
      <c r="J78" s="18">
        <v>30</v>
      </c>
      <c r="K78" s="11">
        <f t="shared" si="14"/>
        <v>7.5</v>
      </c>
      <c r="L78" s="11">
        <f>IFERROR(VLOOKUP(D78,Mitarbeiter!$C$6:$I$13,6,FALSE),0)</f>
        <v>8</v>
      </c>
      <c r="M78" s="11">
        <f t="shared" si="15"/>
        <v>-0.5</v>
      </c>
      <c r="N78" s="12">
        <f>IFERROR(VLOOKUP(D78,Mitarbeiter!$C$6:$I$13,7,FALSE),0)</f>
        <v>18.5</v>
      </c>
      <c r="O78" s="12">
        <f t="shared" si="16"/>
        <v>138.75</v>
      </c>
      <c r="P78" s="3"/>
      <c r="Q78" s="3" t="s">
        <v>38</v>
      </c>
      <c r="R78" s="10" t="str">
        <f t="shared" si="17"/>
        <v>OK</v>
      </c>
      <c r="S78" s="19"/>
    </row>
    <row r="79" spans="1:19" ht="18" customHeight="1" x14ac:dyDescent="0.25">
      <c r="A79" s="16">
        <v>46097</v>
      </c>
      <c r="B79" s="10" t="str">
        <f t="shared" si="12"/>
        <v>lunes</v>
      </c>
      <c r="C79" s="14" t="e">
        <f t="shared" ca="1" si="13"/>
        <v>#NAME?</v>
      </c>
      <c r="D79" s="3" t="s">
        <v>94</v>
      </c>
      <c r="E79" s="10" t="str">
        <f>IFERROR(VLOOKUP(D79,Mitarbeiter!$C$6:$I$13,2,FALSE),"")</f>
        <v>Mitarbeiter</v>
      </c>
      <c r="F79" s="10" t="str">
        <f>IFERROR(VLOOKUP(D79,Mitarbeiter!$C$6:$I$13,3,FALSE),"")</f>
        <v>Lager</v>
      </c>
      <c r="G79" s="3" t="s">
        <v>4</v>
      </c>
      <c r="H79" s="17">
        <v>0.58333333333333337</v>
      </c>
      <c r="I79" s="17">
        <v>0.91666666666666663</v>
      </c>
      <c r="J79" s="18">
        <v>30</v>
      </c>
      <c r="K79" s="11">
        <f t="shared" si="14"/>
        <v>7.5</v>
      </c>
      <c r="L79" s="11">
        <f>IFERROR(VLOOKUP(D79,Mitarbeiter!$C$6:$I$13,6,FALSE),0)</f>
        <v>8</v>
      </c>
      <c r="M79" s="11">
        <f t="shared" si="15"/>
        <v>-0.5</v>
      </c>
      <c r="N79" s="12">
        <f>IFERROR(VLOOKUP(D79,Mitarbeiter!$C$6:$I$13,7,FALSE),0)</f>
        <v>19.2</v>
      </c>
      <c r="O79" s="12">
        <f t="shared" si="16"/>
        <v>144</v>
      </c>
      <c r="P79" s="3"/>
      <c r="Q79" s="3" t="s">
        <v>38</v>
      </c>
      <c r="R79" s="10" t="str">
        <f t="shared" si="17"/>
        <v>OK</v>
      </c>
      <c r="S79" s="19"/>
    </row>
    <row r="80" spans="1:19" ht="18" customHeight="1" x14ac:dyDescent="0.25">
      <c r="A80" s="16">
        <v>46097</v>
      </c>
      <c r="B80" s="10" t="str">
        <f t="shared" si="12"/>
        <v>lunes</v>
      </c>
      <c r="C80" s="14" t="e">
        <f t="shared" ca="1" si="13"/>
        <v>#NAME?</v>
      </c>
      <c r="D80" s="3" t="s">
        <v>98</v>
      </c>
      <c r="E80" s="10" t="str">
        <f>IFERROR(VLOOKUP(D80,Mitarbeiter!$C$6:$I$13,2,FALSE),"")</f>
        <v>Verwaltung</v>
      </c>
      <c r="F80" s="10" t="str">
        <f>IFERROR(VLOOKUP(D80,Mitarbeiter!$C$6:$I$13,3,FALSE),"")</f>
        <v>Büro</v>
      </c>
      <c r="G80" s="3" t="s">
        <v>6</v>
      </c>
      <c r="H80" s="17">
        <v>0.375</v>
      </c>
      <c r="I80" s="17">
        <v>0.70833333333333337</v>
      </c>
      <c r="J80" s="18">
        <v>60</v>
      </c>
      <c r="K80" s="11">
        <f t="shared" si="14"/>
        <v>7</v>
      </c>
      <c r="L80" s="11">
        <f>IFERROR(VLOOKUP(D80,Mitarbeiter!$C$6:$I$13,6,FALSE),0)</f>
        <v>7.6</v>
      </c>
      <c r="M80" s="11">
        <f t="shared" si="15"/>
        <v>-0.59999999999999964</v>
      </c>
      <c r="N80" s="12">
        <f>IFERROR(VLOOKUP(D80,Mitarbeiter!$C$6:$I$13,7,FALSE),0)</f>
        <v>22</v>
      </c>
      <c r="O80" s="12">
        <f t="shared" si="16"/>
        <v>154</v>
      </c>
      <c r="P80" s="3"/>
      <c r="Q80" s="3" t="s">
        <v>38</v>
      </c>
      <c r="R80" s="10" t="str">
        <f t="shared" si="17"/>
        <v>OK</v>
      </c>
      <c r="S80" s="19"/>
    </row>
    <row r="81" spans="1:19" ht="18" customHeight="1" x14ac:dyDescent="0.25">
      <c r="A81" s="16">
        <v>46097</v>
      </c>
      <c r="B81" s="10" t="str">
        <f t="shared" si="12"/>
        <v>lunes</v>
      </c>
      <c r="C81" s="14" t="e">
        <f t="shared" ca="1" si="13"/>
        <v>#NAME?</v>
      </c>
      <c r="D81" s="3" t="s">
        <v>112</v>
      </c>
      <c r="E81" s="10" t="str">
        <f>IFERROR(VLOOKUP(D81,Mitarbeiter!$C$6:$I$13,2,FALSE),"")</f>
        <v>Mitarbeiter</v>
      </c>
      <c r="F81" s="10" t="str">
        <f>IFERROR(VLOOKUP(D81,Mitarbeiter!$C$6:$I$13,3,FALSE),"")</f>
        <v>Produktion</v>
      </c>
      <c r="G81" s="3" t="s">
        <v>3</v>
      </c>
      <c r="H81" s="17">
        <v>0.25</v>
      </c>
      <c r="I81" s="17">
        <v>0.58333333333333337</v>
      </c>
      <c r="J81" s="18">
        <v>30</v>
      </c>
      <c r="K81" s="11">
        <f t="shared" si="14"/>
        <v>7.5</v>
      </c>
      <c r="L81" s="11">
        <f>IFERROR(VLOOKUP(D81,Mitarbeiter!$C$6:$I$13,6,FALSE),0)</f>
        <v>8</v>
      </c>
      <c r="M81" s="11">
        <f t="shared" si="15"/>
        <v>-0.5</v>
      </c>
      <c r="N81" s="12">
        <f>IFERROR(VLOOKUP(D81,Mitarbeiter!$C$6:$I$13,7,FALSE),0)</f>
        <v>19.8</v>
      </c>
      <c r="O81" s="12">
        <f t="shared" si="16"/>
        <v>148.5</v>
      </c>
      <c r="P81" s="3"/>
      <c r="Q81" s="3" t="s">
        <v>38</v>
      </c>
      <c r="R81" s="10" t="str">
        <f t="shared" si="17"/>
        <v>OK</v>
      </c>
      <c r="S81" s="19"/>
    </row>
    <row r="82" spans="1:19" ht="18" customHeight="1" x14ac:dyDescent="0.25">
      <c r="A82" s="16">
        <v>46097</v>
      </c>
      <c r="B82" s="10" t="str">
        <f t="shared" si="12"/>
        <v>lunes</v>
      </c>
      <c r="C82" s="14" t="e">
        <f t="shared" ca="1" si="13"/>
        <v>#NAME?</v>
      </c>
      <c r="D82" s="3" t="s">
        <v>108</v>
      </c>
      <c r="E82" s="10" t="str">
        <f>IFERROR(VLOOKUP(D82,Mitarbeiter!$C$6:$I$13,2,FALSE),"")</f>
        <v>Mitarbeiter</v>
      </c>
      <c r="F82" s="10" t="str">
        <f>IFERROR(VLOOKUP(D82,Mitarbeiter!$C$6:$I$13,3,FALSE),"")</f>
        <v>Pflege</v>
      </c>
      <c r="G82" s="3" t="s">
        <v>3</v>
      </c>
      <c r="H82" s="17">
        <v>0.29166666666666669</v>
      </c>
      <c r="I82" s="17">
        <v>0.54166666666666663</v>
      </c>
      <c r="J82" s="18">
        <v>30</v>
      </c>
      <c r="K82" s="11">
        <f t="shared" si="14"/>
        <v>5.5</v>
      </c>
      <c r="L82" s="11">
        <f>IFERROR(VLOOKUP(D82,Mitarbeiter!$C$6:$I$13,6,FALSE),0)</f>
        <v>6</v>
      </c>
      <c r="M82" s="11">
        <f t="shared" si="15"/>
        <v>-0.5</v>
      </c>
      <c r="N82" s="12">
        <f>IFERROR(VLOOKUP(D82,Mitarbeiter!$C$6:$I$13,7,FALSE),0)</f>
        <v>20.5</v>
      </c>
      <c r="O82" s="12">
        <f t="shared" si="16"/>
        <v>112.75</v>
      </c>
      <c r="P82" s="3"/>
      <c r="Q82" s="3" t="s">
        <v>38</v>
      </c>
      <c r="R82" s="10" t="str">
        <f t="shared" si="17"/>
        <v>OK</v>
      </c>
      <c r="S82" s="19"/>
    </row>
    <row r="83" spans="1:19" ht="18" customHeight="1" x14ac:dyDescent="0.25">
      <c r="A83" s="16">
        <v>46097</v>
      </c>
      <c r="B83" s="10" t="str">
        <f t="shared" si="12"/>
        <v>lunes</v>
      </c>
      <c r="C83" s="14" t="e">
        <f t="shared" ca="1" si="13"/>
        <v>#NAME?</v>
      </c>
      <c r="D83" s="3" t="s">
        <v>103</v>
      </c>
      <c r="E83" s="10" t="str">
        <f>IFERROR(VLOOKUP(D83,Mitarbeiter!$C$6:$I$13,2,FALSE),"")</f>
        <v>Aushilfe</v>
      </c>
      <c r="F83" s="10" t="str">
        <f>IFERROR(VLOOKUP(D83,Mitarbeiter!$C$6:$I$13,3,FALSE),"")</f>
        <v>Service</v>
      </c>
      <c r="G83" s="3" t="s">
        <v>8</v>
      </c>
      <c r="H83" s="17"/>
      <c r="I83" s="17"/>
      <c r="J83" s="18">
        <v>0</v>
      </c>
      <c r="K83" s="11">
        <f t="shared" si="14"/>
        <v>0</v>
      </c>
      <c r="L83" s="11">
        <f>IFERROR(VLOOKUP(D83,Mitarbeiter!$C$6:$I$13,6,FALSE),0)</f>
        <v>4</v>
      </c>
      <c r="M83" s="11">
        <f t="shared" si="15"/>
        <v>-4</v>
      </c>
      <c r="N83" s="12">
        <f>IFERROR(VLOOKUP(D83,Mitarbeiter!$C$6:$I$13,7,FALSE),0)</f>
        <v>15</v>
      </c>
      <c r="O83" s="12">
        <f t="shared" si="16"/>
        <v>0</v>
      </c>
      <c r="P83" s="3" t="s">
        <v>32</v>
      </c>
      <c r="Q83" s="3" t="s">
        <v>37</v>
      </c>
      <c r="R83" s="10" t="str">
        <f t="shared" si="17"/>
        <v>Ruhetag / Abwesenheit</v>
      </c>
      <c r="S83" s="19"/>
    </row>
    <row r="84" spans="1:19" ht="18" customHeight="1" x14ac:dyDescent="0.25">
      <c r="A84" s="16">
        <v>46098</v>
      </c>
      <c r="B84" s="10" t="str">
        <f t="shared" si="12"/>
        <v>martes</v>
      </c>
      <c r="C84" s="14" t="e">
        <f t="shared" ca="1" si="13"/>
        <v>#NAME?</v>
      </c>
      <c r="D84" s="3" t="s">
        <v>80</v>
      </c>
      <c r="E84" s="10" t="str">
        <f>IFERROR(VLOOKUP(D84,Mitarbeiter!$C$6:$I$13,2,FALSE),"")</f>
        <v>Teamleitung</v>
      </c>
      <c r="F84" s="10" t="str">
        <f>IFERROR(VLOOKUP(D84,Mitarbeiter!$C$6:$I$13,3,FALSE),"")</f>
        <v>Verkauf</v>
      </c>
      <c r="G84" s="3" t="s">
        <v>3</v>
      </c>
      <c r="H84" s="17">
        <v>0.25</v>
      </c>
      <c r="I84" s="17">
        <v>0.58333333333333337</v>
      </c>
      <c r="J84" s="18">
        <v>30</v>
      </c>
      <c r="K84" s="11">
        <f t="shared" si="14"/>
        <v>7.5</v>
      </c>
      <c r="L84" s="11">
        <f>IFERROR(VLOOKUP(D84,Mitarbeiter!$C$6:$I$13,6,FALSE),0)</f>
        <v>8</v>
      </c>
      <c r="M84" s="11">
        <f t="shared" si="15"/>
        <v>-0.5</v>
      </c>
      <c r="N84" s="12">
        <f>IFERROR(VLOOKUP(D84,Mitarbeiter!$C$6:$I$13,7,FALSE),0)</f>
        <v>24.5</v>
      </c>
      <c r="O84" s="12">
        <f t="shared" si="16"/>
        <v>183.75</v>
      </c>
      <c r="P84" s="3"/>
      <c r="Q84" s="3" t="s">
        <v>38</v>
      </c>
      <c r="R84" s="10" t="str">
        <f t="shared" si="17"/>
        <v>OK</v>
      </c>
      <c r="S84" s="19"/>
    </row>
    <row r="85" spans="1:19" ht="18" customHeight="1" x14ac:dyDescent="0.25">
      <c r="A85" s="16">
        <v>46098</v>
      </c>
      <c r="B85" s="10" t="str">
        <f t="shared" si="12"/>
        <v>martes</v>
      </c>
      <c r="C85" s="14" t="e">
        <f t="shared" ca="1" si="13"/>
        <v>#NAME?</v>
      </c>
      <c r="D85" s="3" t="s">
        <v>85</v>
      </c>
      <c r="E85" s="10" t="str">
        <f>IFERROR(VLOOKUP(D85,Mitarbeiter!$C$6:$I$13,2,FALSE),"")</f>
        <v>Mitarbeiter</v>
      </c>
      <c r="F85" s="10" t="str">
        <f>IFERROR(VLOOKUP(D85,Mitarbeiter!$C$6:$I$13,3,FALSE),"")</f>
        <v>Verkauf</v>
      </c>
      <c r="G85" s="3" t="s">
        <v>3</v>
      </c>
      <c r="H85" s="17">
        <v>0.25</v>
      </c>
      <c r="I85" s="17">
        <v>0.58333333333333337</v>
      </c>
      <c r="J85" s="18">
        <v>30</v>
      </c>
      <c r="K85" s="11">
        <f t="shared" si="14"/>
        <v>7.5</v>
      </c>
      <c r="L85" s="11">
        <f>IFERROR(VLOOKUP(D85,Mitarbeiter!$C$6:$I$13,6,FALSE),0)</f>
        <v>8</v>
      </c>
      <c r="M85" s="11">
        <f t="shared" si="15"/>
        <v>-0.5</v>
      </c>
      <c r="N85" s="12">
        <f>IFERROR(VLOOKUP(D85,Mitarbeiter!$C$6:$I$13,7,FALSE),0)</f>
        <v>18.5</v>
      </c>
      <c r="O85" s="12">
        <f t="shared" si="16"/>
        <v>138.75</v>
      </c>
      <c r="P85" s="3"/>
      <c r="Q85" s="3" t="s">
        <v>38</v>
      </c>
      <c r="R85" s="10" t="str">
        <f t="shared" si="17"/>
        <v>OK</v>
      </c>
      <c r="S85" s="19"/>
    </row>
    <row r="86" spans="1:19" ht="18" customHeight="1" x14ac:dyDescent="0.25">
      <c r="A86" s="16">
        <v>46098</v>
      </c>
      <c r="B86" s="10" t="str">
        <f t="shared" si="12"/>
        <v>martes</v>
      </c>
      <c r="C86" s="14" t="e">
        <f t="shared" ca="1" si="13"/>
        <v>#NAME?</v>
      </c>
      <c r="D86" s="3" t="s">
        <v>94</v>
      </c>
      <c r="E86" s="10" t="str">
        <f>IFERROR(VLOOKUP(D86,Mitarbeiter!$C$6:$I$13,2,FALSE),"")</f>
        <v>Mitarbeiter</v>
      </c>
      <c r="F86" s="10" t="str">
        <f>IFERROR(VLOOKUP(D86,Mitarbeiter!$C$6:$I$13,3,FALSE),"")</f>
        <v>Lager</v>
      </c>
      <c r="G86" s="3" t="s">
        <v>4</v>
      </c>
      <c r="H86" s="17">
        <v>0.58333333333333337</v>
      </c>
      <c r="I86" s="17">
        <v>0.91666666666666663</v>
      </c>
      <c r="J86" s="18">
        <v>30</v>
      </c>
      <c r="K86" s="11">
        <f t="shared" si="14"/>
        <v>7.5</v>
      </c>
      <c r="L86" s="11">
        <f>IFERROR(VLOOKUP(D86,Mitarbeiter!$C$6:$I$13,6,FALSE),0)</f>
        <v>8</v>
      </c>
      <c r="M86" s="11">
        <f t="shared" si="15"/>
        <v>-0.5</v>
      </c>
      <c r="N86" s="12">
        <f>IFERROR(VLOOKUP(D86,Mitarbeiter!$C$6:$I$13,7,FALSE),0)</f>
        <v>19.2</v>
      </c>
      <c r="O86" s="12">
        <f t="shared" si="16"/>
        <v>144</v>
      </c>
      <c r="P86" s="3"/>
      <c r="Q86" s="3" t="s">
        <v>38</v>
      </c>
      <c r="R86" s="10" t="str">
        <f t="shared" si="17"/>
        <v>OK</v>
      </c>
      <c r="S86" s="19"/>
    </row>
    <row r="87" spans="1:19" ht="18" customHeight="1" x14ac:dyDescent="0.25">
      <c r="A87" s="16">
        <v>46098</v>
      </c>
      <c r="B87" s="10" t="str">
        <f t="shared" si="12"/>
        <v>martes</v>
      </c>
      <c r="C87" s="14" t="e">
        <f t="shared" ca="1" si="13"/>
        <v>#NAME?</v>
      </c>
      <c r="D87" s="3" t="s">
        <v>98</v>
      </c>
      <c r="E87" s="10" t="str">
        <f>IFERROR(VLOOKUP(D87,Mitarbeiter!$C$6:$I$13,2,FALSE),"")</f>
        <v>Verwaltung</v>
      </c>
      <c r="F87" s="10" t="str">
        <f>IFERROR(VLOOKUP(D87,Mitarbeiter!$C$6:$I$13,3,FALSE),"")</f>
        <v>Büro</v>
      </c>
      <c r="G87" s="3" t="s">
        <v>6</v>
      </c>
      <c r="H87" s="17">
        <v>0.375</v>
      </c>
      <c r="I87" s="17">
        <v>0.70833333333333337</v>
      </c>
      <c r="J87" s="18">
        <v>60</v>
      </c>
      <c r="K87" s="11">
        <f t="shared" si="14"/>
        <v>7</v>
      </c>
      <c r="L87" s="11">
        <f>IFERROR(VLOOKUP(D87,Mitarbeiter!$C$6:$I$13,6,FALSE),0)</f>
        <v>7.6</v>
      </c>
      <c r="M87" s="11">
        <f t="shared" si="15"/>
        <v>-0.59999999999999964</v>
      </c>
      <c r="N87" s="12">
        <f>IFERROR(VLOOKUP(D87,Mitarbeiter!$C$6:$I$13,7,FALSE),0)</f>
        <v>22</v>
      </c>
      <c r="O87" s="12">
        <f t="shared" si="16"/>
        <v>154</v>
      </c>
      <c r="P87" s="3"/>
      <c r="Q87" s="3" t="s">
        <v>38</v>
      </c>
      <c r="R87" s="10" t="str">
        <f t="shared" si="17"/>
        <v>OK</v>
      </c>
      <c r="S87" s="19"/>
    </row>
    <row r="88" spans="1:19" ht="18" customHeight="1" x14ac:dyDescent="0.25">
      <c r="A88" s="16">
        <v>46098</v>
      </c>
      <c r="B88" s="10" t="str">
        <f t="shared" si="12"/>
        <v>martes</v>
      </c>
      <c r="C88" s="14" t="e">
        <f t="shared" ca="1" si="13"/>
        <v>#NAME?</v>
      </c>
      <c r="D88" s="3" t="s">
        <v>112</v>
      </c>
      <c r="E88" s="10" t="str">
        <f>IFERROR(VLOOKUP(D88,Mitarbeiter!$C$6:$I$13,2,FALSE),"")</f>
        <v>Mitarbeiter</v>
      </c>
      <c r="F88" s="10" t="str">
        <f>IFERROR(VLOOKUP(D88,Mitarbeiter!$C$6:$I$13,3,FALSE),"")</f>
        <v>Produktion</v>
      </c>
      <c r="G88" s="3" t="s">
        <v>5</v>
      </c>
      <c r="H88" s="17">
        <v>0.91666666666666663</v>
      </c>
      <c r="I88" s="17">
        <v>0.25</v>
      </c>
      <c r="J88" s="18">
        <v>45</v>
      </c>
      <c r="K88" s="11">
        <f t="shared" si="14"/>
        <v>7.25</v>
      </c>
      <c r="L88" s="11">
        <f>IFERROR(VLOOKUP(D88,Mitarbeiter!$C$6:$I$13,6,FALSE),0)</f>
        <v>8</v>
      </c>
      <c r="M88" s="11">
        <f t="shared" si="15"/>
        <v>-0.75</v>
      </c>
      <c r="N88" s="12">
        <f>IFERROR(VLOOKUP(D88,Mitarbeiter!$C$6:$I$13,7,FALSE),0)</f>
        <v>19.8</v>
      </c>
      <c r="O88" s="12">
        <f t="shared" si="16"/>
        <v>143.55000000000001</v>
      </c>
      <c r="P88" s="3"/>
      <c r="Q88" s="3" t="s">
        <v>38</v>
      </c>
      <c r="R88" s="10" t="str">
        <f t="shared" si="17"/>
        <v>OK</v>
      </c>
      <c r="S88" s="19"/>
    </row>
    <row r="89" spans="1:19" ht="18" customHeight="1" x14ac:dyDescent="0.25">
      <c r="A89" s="16">
        <v>46098</v>
      </c>
      <c r="B89" s="10" t="str">
        <f t="shared" si="12"/>
        <v>martes</v>
      </c>
      <c r="C89" s="14" t="e">
        <f t="shared" ca="1" si="13"/>
        <v>#NAME?</v>
      </c>
      <c r="D89" s="3" t="s">
        <v>89</v>
      </c>
      <c r="E89" s="10" t="str">
        <f>IFERROR(VLOOKUP(D89,Mitarbeiter!$C$6:$I$13,2,FALSE),"")</f>
        <v>Mitarbeiter</v>
      </c>
      <c r="F89" s="10" t="str">
        <f>IFERROR(VLOOKUP(D89,Mitarbeiter!$C$6:$I$13,3,FALSE),"")</f>
        <v>Service</v>
      </c>
      <c r="G89" s="3" t="s">
        <v>7</v>
      </c>
      <c r="H89" s="17">
        <v>0.375</v>
      </c>
      <c r="I89" s="17">
        <v>0.58333333333333337</v>
      </c>
      <c r="J89" s="18">
        <v>0</v>
      </c>
      <c r="K89" s="11">
        <f t="shared" si="14"/>
        <v>5</v>
      </c>
      <c r="L89" s="11">
        <f>IFERROR(VLOOKUP(D89,Mitarbeiter!$C$6:$I$13,6,FALSE),0)</f>
        <v>5</v>
      </c>
      <c r="M89" s="11">
        <f t="shared" si="15"/>
        <v>0</v>
      </c>
      <c r="N89" s="12">
        <f>IFERROR(VLOOKUP(D89,Mitarbeiter!$C$6:$I$13,7,FALSE),0)</f>
        <v>17.8</v>
      </c>
      <c r="O89" s="12">
        <f t="shared" si="16"/>
        <v>89</v>
      </c>
      <c r="P89" s="3"/>
      <c r="Q89" s="3" t="s">
        <v>38</v>
      </c>
      <c r="R89" s="10" t="str">
        <f t="shared" si="17"/>
        <v>OK</v>
      </c>
      <c r="S89" s="19"/>
    </row>
    <row r="90" spans="1:19" ht="18" customHeight="1" x14ac:dyDescent="0.25">
      <c r="A90" s="16">
        <v>46098</v>
      </c>
      <c r="B90" s="10" t="str">
        <f t="shared" si="12"/>
        <v>martes</v>
      </c>
      <c r="C90" s="14" t="e">
        <f t="shared" ca="1" si="13"/>
        <v>#NAME?</v>
      </c>
      <c r="D90" s="3" t="s">
        <v>103</v>
      </c>
      <c r="E90" s="10" t="str">
        <f>IFERROR(VLOOKUP(D90,Mitarbeiter!$C$6:$I$13,2,FALSE),"")</f>
        <v>Aushilfe</v>
      </c>
      <c r="F90" s="10" t="str">
        <f>IFERROR(VLOOKUP(D90,Mitarbeiter!$C$6:$I$13,3,FALSE),"")</f>
        <v>Service</v>
      </c>
      <c r="G90" s="3" t="s">
        <v>8</v>
      </c>
      <c r="H90" s="17"/>
      <c r="I90" s="17"/>
      <c r="J90" s="18">
        <v>0</v>
      </c>
      <c r="K90" s="11">
        <f t="shared" si="14"/>
        <v>0</v>
      </c>
      <c r="L90" s="11">
        <f>IFERROR(VLOOKUP(D90,Mitarbeiter!$C$6:$I$13,6,FALSE),0)</f>
        <v>4</v>
      </c>
      <c r="M90" s="11">
        <f t="shared" si="15"/>
        <v>-4</v>
      </c>
      <c r="N90" s="12">
        <f>IFERROR(VLOOKUP(D90,Mitarbeiter!$C$6:$I$13,7,FALSE),0)</f>
        <v>15</v>
      </c>
      <c r="O90" s="12">
        <f t="shared" si="16"/>
        <v>0</v>
      </c>
      <c r="P90" s="3" t="s">
        <v>32</v>
      </c>
      <c r="Q90" s="3" t="s">
        <v>37</v>
      </c>
      <c r="R90" s="10" t="str">
        <f t="shared" si="17"/>
        <v>Ruhetag / Abwesenheit</v>
      </c>
      <c r="S90" s="19"/>
    </row>
    <row r="91" spans="1:19" ht="18" customHeight="1" x14ac:dyDescent="0.25">
      <c r="A91" s="16">
        <v>46099</v>
      </c>
      <c r="B91" s="10" t="str">
        <f t="shared" si="12"/>
        <v>miércoles</v>
      </c>
      <c r="C91" s="14" t="e">
        <f t="shared" ca="1" si="13"/>
        <v>#NAME?</v>
      </c>
      <c r="D91" s="3" t="s">
        <v>80</v>
      </c>
      <c r="E91" s="10" t="str">
        <f>IFERROR(VLOOKUP(D91,Mitarbeiter!$C$6:$I$13,2,FALSE),"")</f>
        <v>Teamleitung</v>
      </c>
      <c r="F91" s="10" t="str">
        <f>IFERROR(VLOOKUP(D91,Mitarbeiter!$C$6:$I$13,3,FALSE),"")</f>
        <v>Verkauf</v>
      </c>
      <c r="G91" s="3" t="s">
        <v>3</v>
      </c>
      <c r="H91" s="17">
        <v>0.25</v>
      </c>
      <c r="I91" s="17">
        <v>0.58333333333333337</v>
      </c>
      <c r="J91" s="18">
        <v>30</v>
      </c>
      <c r="K91" s="11">
        <f t="shared" si="14"/>
        <v>7.5</v>
      </c>
      <c r="L91" s="11">
        <f>IFERROR(VLOOKUP(D91,Mitarbeiter!$C$6:$I$13,6,FALSE),0)</f>
        <v>8</v>
      </c>
      <c r="M91" s="11">
        <f t="shared" si="15"/>
        <v>-0.5</v>
      </c>
      <c r="N91" s="12">
        <f>IFERROR(VLOOKUP(D91,Mitarbeiter!$C$6:$I$13,7,FALSE),0)</f>
        <v>24.5</v>
      </c>
      <c r="O91" s="12">
        <f t="shared" si="16"/>
        <v>183.75</v>
      </c>
      <c r="P91" s="3"/>
      <c r="Q91" s="3" t="s">
        <v>38</v>
      </c>
      <c r="R91" s="10" t="str">
        <f t="shared" si="17"/>
        <v>OK</v>
      </c>
      <c r="S91" s="19"/>
    </row>
    <row r="92" spans="1:19" ht="18" customHeight="1" x14ac:dyDescent="0.25">
      <c r="A92" s="16">
        <v>46099</v>
      </c>
      <c r="B92" s="10" t="str">
        <f t="shared" si="12"/>
        <v>miércoles</v>
      </c>
      <c r="C92" s="14" t="e">
        <f t="shared" ca="1" si="13"/>
        <v>#NAME?</v>
      </c>
      <c r="D92" s="3" t="s">
        <v>85</v>
      </c>
      <c r="E92" s="10" t="str">
        <f>IFERROR(VLOOKUP(D92,Mitarbeiter!$C$6:$I$13,2,FALSE),"")</f>
        <v>Mitarbeiter</v>
      </c>
      <c r="F92" s="10" t="str">
        <f>IFERROR(VLOOKUP(D92,Mitarbeiter!$C$6:$I$13,3,FALSE),"")</f>
        <v>Verkauf</v>
      </c>
      <c r="G92" s="3" t="s">
        <v>3</v>
      </c>
      <c r="H92" s="17">
        <v>0.25</v>
      </c>
      <c r="I92" s="17">
        <v>0.58333333333333337</v>
      </c>
      <c r="J92" s="18">
        <v>30</v>
      </c>
      <c r="K92" s="11">
        <f t="shared" si="14"/>
        <v>7.5</v>
      </c>
      <c r="L92" s="11">
        <f>IFERROR(VLOOKUP(D92,Mitarbeiter!$C$6:$I$13,6,FALSE),0)</f>
        <v>8</v>
      </c>
      <c r="M92" s="11">
        <f t="shared" si="15"/>
        <v>-0.5</v>
      </c>
      <c r="N92" s="12">
        <f>IFERROR(VLOOKUP(D92,Mitarbeiter!$C$6:$I$13,7,FALSE),0)</f>
        <v>18.5</v>
      </c>
      <c r="O92" s="12">
        <f t="shared" si="16"/>
        <v>138.75</v>
      </c>
      <c r="P92" s="3"/>
      <c r="Q92" s="3" t="s">
        <v>38</v>
      </c>
      <c r="R92" s="10" t="str">
        <f t="shared" si="17"/>
        <v>OK</v>
      </c>
      <c r="S92" s="19"/>
    </row>
    <row r="93" spans="1:19" ht="18" customHeight="1" x14ac:dyDescent="0.25">
      <c r="A93" s="16">
        <v>46099</v>
      </c>
      <c r="B93" s="10" t="str">
        <f t="shared" si="12"/>
        <v>miércoles</v>
      </c>
      <c r="C93" s="14" t="e">
        <f t="shared" ca="1" si="13"/>
        <v>#NAME?</v>
      </c>
      <c r="D93" s="3" t="s">
        <v>94</v>
      </c>
      <c r="E93" s="10" t="str">
        <f>IFERROR(VLOOKUP(D93,Mitarbeiter!$C$6:$I$13,2,FALSE),"")</f>
        <v>Mitarbeiter</v>
      </c>
      <c r="F93" s="10" t="str">
        <f>IFERROR(VLOOKUP(D93,Mitarbeiter!$C$6:$I$13,3,FALSE),"")</f>
        <v>Lager</v>
      </c>
      <c r="G93" s="3" t="s">
        <v>4</v>
      </c>
      <c r="H93" s="17">
        <v>0.58333333333333337</v>
      </c>
      <c r="I93" s="17">
        <v>0.91666666666666663</v>
      </c>
      <c r="J93" s="18">
        <v>30</v>
      </c>
      <c r="K93" s="11">
        <f t="shared" si="14"/>
        <v>7.5</v>
      </c>
      <c r="L93" s="11">
        <f>IFERROR(VLOOKUP(D93,Mitarbeiter!$C$6:$I$13,6,FALSE),0)</f>
        <v>8</v>
      </c>
      <c r="M93" s="11">
        <f t="shared" si="15"/>
        <v>-0.5</v>
      </c>
      <c r="N93" s="12">
        <f>IFERROR(VLOOKUP(D93,Mitarbeiter!$C$6:$I$13,7,FALSE),0)</f>
        <v>19.2</v>
      </c>
      <c r="O93" s="12">
        <f t="shared" si="16"/>
        <v>144</v>
      </c>
      <c r="P93" s="3"/>
      <c r="Q93" s="3" t="s">
        <v>38</v>
      </c>
      <c r="R93" s="10" t="str">
        <f t="shared" si="17"/>
        <v>OK</v>
      </c>
      <c r="S93" s="19"/>
    </row>
    <row r="94" spans="1:19" ht="18" customHeight="1" x14ac:dyDescent="0.25">
      <c r="A94" s="16">
        <v>46099</v>
      </c>
      <c r="B94" s="10" t="str">
        <f t="shared" si="12"/>
        <v>miércoles</v>
      </c>
      <c r="C94" s="14" t="e">
        <f t="shared" ca="1" si="13"/>
        <v>#NAME?</v>
      </c>
      <c r="D94" s="3" t="s">
        <v>98</v>
      </c>
      <c r="E94" s="10" t="str">
        <f>IFERROR(VLOOKUP(D94,Mitarbeiter!$C$6:$I$13,2,FALSE),"")</f>
        <v>Verwaltung</v>
      </c>
      <c r="F94" s="10" t="str">
        <f>IFERROR(VLOOKUP(D94,Mitarbeiter!$C$6:$I$13,3,FALSE),"")</f>
        <v>Büro</v>
      </c>
      <c r="G94" s="3" t="s">
        <v>6</v>
      </c>
      <c r="H94" s="17">
        <v>0.375</v>
      </c>
      <c r="I94" s="17">
        <v>0.70833333333333337</v>
      </c>
      <c r="J94" s="18">
        <v>60</v>
      </c>
      <c r="K94" s="11">
        <f t="shared" si="14"/>
        <v>7</v>
      </c>
      <c r="L94" s="11">
        <f>IFERROR(VLOOKUP(D94,Mitarbeiter!$C$6:$I$13,6,FALSE),0)</f>
        <v>7.6</v>
      </c>
      <c r="M94" s="11">
        <f t="shared" si="15"/>
        <v>-0.59999999999999964</v>
      </c>
      <c r="N94" s="12">
        <f>IFERROR(VLOOKUP(D94,Mitarbeiter!$C$6:$I$13,7,FALSE),0)</f>
        <v>22</v>
      </c>
      <c r="O94" s="12">
        <f t="shared" si="16"/>
        <v>154</v>
      </c>
      <c r="P94" s="3"/>
      <c r="Q94" s="3" t="s">
        <v>38</v>
      </c>
      <c r="R94" s="10" t="str">
        <f t="shared" si="17"/>
        <v>OK</v>
      </c>
      <c r="S94" s="19"/>
    </row>
    <row r="95" spans="1:19" ht="18" customHeight="1" x14ac:dyDescent="0.25">
      <c r="A95" s="16">
        <v>46099</v>
      </c>
      <c r="B95" s="10" t="str">
        <f t="shared" si="12"/>
        <v>miércoles</v>
      </c>
      <c r="C95" s="14" t="e">
        <f t="shared" ca="1" si="13"/>
        <v>#NAME?</v>
      </c>
      <c r="D95" s="3" t="s">
        <v>112</v>
      </c>
      <c r="E95" s="10" t="str">
        <f>IFERROR(VLOOKUP(D95,Mitarbeiter!$C$6:$I$13,2,FALSE),"")</f>
        <v>Mitarbeiter</v>
      </c>
      <c r="F95" s="10" t="str">
        <f>IFERROR(VLOOKUP(D95,Mitarbeiter!$C$6:$I$13,3,FALSE),"")</f>
        <v>Produktion</v>
      </c>
      <c r="G95" s="3" t="s">
        <v>3</v>
      </c>
      <c r="H95" s="17">
        <v>0.25</v>
      </c>
      <c r="I95" s="17">
        <v>0.58333333333333337</v>
      </c>
      <c r="J95" s="18">
        <v>30</v>
      </c>
      <c r="K95" s="11">
        <f t="shared" si="14"/>
        <v>7.5</v>
      </c>
      <c r="L95" s="11">
        <f>IFERROR(VLOOKUP(D95,Mitarbeiter!$C$6:$I$13,6,FALSE),0)</f>
        <v>8</v>
      </c>
      <c r="M95" s="11">
        <f t="shared" si="15"/>
        <v>-0.5</v>
      </c>
      <c r="N95" s="12">
        <f>IFERROR(VLOOKUP(D95,Mitarbeiter!$C$6:$I$13,7,FALSE),0)</f>
        <v>19.8</v>
      </c>
      <c r="O95" s="12">
        <f t="shared" si="16"/>
        <v>148.5</v>
      </c>
      <c r="P95" s="3"/>
      <c r="Q95" s="3" t="s">
        <v>38</v>
      </c>
      <c r="R95" s="10" t="str">
        <f t="shared" si="17"/>
        <v>OK</v>
      </c>
      <c r="S95" s="19"/>
    </row>
    <row r="96" spans="1:19" ht="18" customHeight="1" x14ac:dyDescent="0.25">
      <c r="A96" s="16">
        <v>46100</v>
      </c>
      <c r="B96" s="10" t="str">
        <f t="shared" si="12"/>
        <v>jueves</v>
      </c>
      <c r="C96" s="14" t="e">
        <f t="shared" ca="1" si="13"/>
        <v>#NAME?</v>
      </c>
      <c r="D96" s="3" t="s">
        <v>80</v>
      </c>
      <c r="E96" s="10" t="str">
        <f>IFERROR(VLOOKUP(D96,Mitarbeiter!$C$6:$I$13,2,FALSE),"")</f>
        <v>Teamleitung</v>
      </c>
      <c r="F96" s="10" t="str">
        <f>IFERROR(VLOOKUP(D96,Mitarbeiter!$C$6:$I$13,3,FALSE),"")</f>
        <v>Verkauf</v>
      </c>
      <c r="G96" s="3" t="s">
        <v>3</v>
      </c>
      <c r="H96" s="17">
        <v>0.25</v>
      </c>
      <c r="I96" s="17">
        <v>0.58333333333333337</v>
      </c>
      <c r="J96" s="18">
        <v>30</v>
      </c>
      <c r="K96" s="11">
        <f t="shared" si="14"/>
        <v>7.5</v>
      </c>
      <c r="L96" s="11">
        <f>IFERROR(VLOOKUP(D96,Mitarbeiter!$C$6:$I$13,6,FALSE),0)</f>
        <v>8</v>
      </c>
      <c r="M96" s="11">
        <f t="shared" si="15"/>
        <v>-0.5</v>
      </c>
      <c r="N96" s="12">
        <f>IFERROR(VLOOKUP(D96,Mitarbeiter!$C$6:$I$13,7,FALSE),0)</f>
        <v>24.5</v>
      </c>
      <c r="O96" s="12">
        <f t="shared" si="16"/>
        <v>183.75</v>
      </c>
      <c r="P96" s="3"/>
      <c r="Q96" s="3" t="s">
        <v>38</v>
      </c>
      <c r="R96" s="10" t="str">
        <f t="shared" si="17"/>
        <v>OK</v>
      </c>
      <c r="S96" s="19"/>
    </row>
    <row r="97" spans="1:19" ht="18" customHeight="1" x14ac:dyDescent="0.25">
      <c r="A97" s="16">
        <v>46100</v>
      </c>
      <c r="B97" s="10" t="str">
        <f t="shared" si="12"/>
        <v>jueves</v>
      </c>
      <c r="C97" s="14" t="e">
        <f t="shared" ca="1" si="13"/>
        <v>#NAME?</v>
      </c>
      <c r="D97" s="3" t="s">
        <v>85</v>
      </c>
      <c r="E97" s="10" t="str">
        <f>IFERROR(VLOOKUP(D97,Mitarbeiter!$C$6:$I$13,2,FALSE),"")</f>
        <v>Mitarbeiter</v>
      </c>
      <c r="F97" s="10" t="str">
        <f>IFERROR(VLOOKUP(D97,Mitarbeiter!$C$6:$I$13,3,FALSE),"")</f>
        <v>Verkauf</v>
      </c>
      <c r="G97" s="3" t="s">
        <v>3</v>
      </c>
      <c r="H97" s="17">
        <v>0.25</v>
      </c>
      <c r="I97" s="17">
        <v>0.58333333333333337</v>
      </c>
      <c r="J97" s="18">
        <v>30</v>
      </c>
      <c r="K97" s="11">
        <f t="shared" si="14"/>
        <v>7.5</v>
      </c>
      <c r="L97" s="11">
        <f>IFERROR(VLOOKUP(D97,Mitarbeiter!$C$6:$I$13,6,FALSE),0)</f>
        <v>8</v>
      </c>
      <c r="M97" s="11">
        <f t="shared" si="15"/>
        <v>-0.5</v>
      </c>
      <c r="N97" s="12">
        <f>IFERROR(VLOOKUP(D97,Mitarbeiter!$C$6:$I$13,7,FALSE),0)</f>
        <v>18.5</v>
      </c>
      <c r="O97" s="12">
        <f t="shared" si="16"/>
        <v>138.75</v>
      </c>
      <c r="P97" s="3"/>
      <c r="Q97" s="3" t="s">
        <v>38</v>
      </c>
      <c r="R97" s="10" t="str">
        <f t="shared" si="17"/>
        <v>OK</v>
      </c>
      <c r="S97" s="19"/>
    </row>
    <row r="98" spans="1:19" ht="18" customHeight="1" x14ac:dyDescent="0.25">
      <c r="A98" s="16">
        <v>46100</v>
      </c>
      <c r="B98" s="10" t="str">
        <f t="shared" si="12"/>
        <v>jueves</v>
      </c>
      <c r="C98" s="14" t="e">
        <f t="shared" ca="1" si="13"/>
        <v>#NAME?</v>
      </c>
      <c r="D98" s="3" t="s">
        <v>94</v>
      </c>
      <c r="E98" s="10" t="str">
        <f>IFERROR(VLOOKUP(D98,Mitarbeiter!$C$6:$I$13,2,FALSE),"")</f>
        <v>Mitarbeiter</v>
      </c>
      <c r="F98" s="10" t="str">
        <f>IFERROR(VLOOKUP(D98,Mitarbeiter!$C$6:$I$13,3,FALSE),"")</f>
        <v>Lager</v>
      </c>
      <c r="G98" s="3" t="s">
        <v>4</v>
      </c>
      <c r="H98" s="17">
        <v>0.58333333333333337</v>
      </c>
      <c r="I98" s="17">
        <v>0.91666666666666663</v>
      </c>
      <c r="J98" s="18">
        <v>30</v>
      </c>
      <c r="K98" s="11">
        <f t="shared" si="14"/>
        <v>7.5</v>
      </c>
      <c r="L98" s="11">
        <f>IFERROR(VLOOKUP(D98,Mitarbeiter!$C$6:$I$13,6,FALSE),0)</f>
        <v>8</v>
      </c>
      <c r="M98" s="11">
        <f t="shared" si="15"/>
        <v>-0.5</v>
      </c>
      <c r="N98" s="12">
        <f>IFERROR(VLOOKUP(D98,Mitarbeiter!$C$6:$I$13,7,FALSE),0)</f>
        <v>19.2</v>
      </c>
      <c r="O98" s="12">
        <f t="shared" si="16"/>
        <v>144</v>
      </c>
      <c r="P98" s="3"/>
      <c r="Q98" s="3" t="s">
        <v>38</v>
      </c>
      <c r="R98" s="10" t="str">
        <f t="shared" si="17"/>
        <v>OK</v>
      </c>
      <c r="S98" s="19"/>
    </row>
    <row r="99" spans="1:19" ht="18" customHeight="1" x14ac:dyDescent="0.25">
      <c r="A99" s="16">
        <v>46100</v>
      </c>
      <c r="B99" s="10" t="str">
        <f t="shared" si="12"/>
        <v>jueves</v>
      </c>
      <c r="C99" s="14" t="e">
        <f t="shared" ca="1" si="13"/>
        <v>#NAME?</v>
      </c>
      <c r="D99" s="3" t="s">
        <v>98</v>
      </c>
      <c r="E99" s="10" t="str">
        <f>IFERROR(VLOOKUP(D99,Mitarbeiter!$C$6:$I$13,2,FALSE),"")</f>
        <v>Verwaltung</v>
      </c>
      <c r="F99" s="10" t="str">
        <f>IFERROR(VLOOKUP(D99,Mitarbeiter!$C$6:$I$13,3,FALSE),"")</f>
        <v>Büro</v>
      </c>
      <c r="G99" s="3" t="s">
        <v>6</v>
      </c>
      <c r="H99" s="17">
        <v>0.375</v>
      </c>
      <c r="I99" s="17">
        <v>0.70833333333333337</v>
      </c>
      <c r="J99" s="18">
        <v>60</v>
      </c>
      <c r="K99" s="11">
        <f t="shared" si="14"/>
        <v>7</v>
      </c>
      <c r="L99" s="11">
        <f>IFERROR(VLOOKUP(D99,Mitarbeiter!$C$6:$I$13,6,FALSE),0)</f>
        <v>7.6</v>
      </c>
      <c r="M99" s="11">
        <f t="shared" si="15"/>
        <v>-0.59999999999999964</v>
      </c>
      <c r="N99" s="12">
        <f>IFERROR(VLOOKUP(D99,Mitarbeiter!$C$6:$I$13,7,FALSE),0)</f>
        <v>22</v>
      </c>
      <c r="O99" s="12">
        <f t="shared" si="16"/>
        <v>154</v>
      </c>
      <c r="P99" s="3"/>
      <c r="Q99" s="3" t="s">
        <v>38</v>
      </c>
      <c r="R99" s="10" t="str">
        <f t="shared" si="17"/>
        <v>OK</v>
      </c>
      <c r="S99" s="19"/>
    </row>
    <row r="100" spans="1:19" ht="18" customHeight="1" x14ac:dyDescent="0.25">
      <c r="A100" s="16">
        <v>46100</v>
      </c>
      <c r="B100" s="10" t="str">
        <f t="shared" si="12"/>
        <v>jueves</v>
      </c>
      <c r="C100" s="14" t="e">
        <f t="shared" ca="1" si="13"/>
        <v>#NAME?</v>
      </c>
      <c r="D100" s="3" t="s">
        <v>112</v>
      </c>
      <c r="E100" s="10" t="str">
        <f>IFERROR(VLOOKUP(D100,Mitarbeiter!$C$6:$I$13,2,FALSE),"")</f>
        <v>Mitarbeiter</v>
      </c>
      <c r="F100" s="10" t="str">
        <f>IFERROR(VLOOKUP(D100,Mitarbeiter!$C$6:$I$13,3,FALSE),"")</f>
        <v>Produktion</v>
      </c>
      <c r="G100" s="3" t="s">
        <v>3</v>
      </c>
      <c r="H100" s="17">
        <v>0.25</v>
      </c>
      <c r="I100" s="17">
        <v>0.58333333333333337</v>
      </c>
      <c r="J100" s="18">
        <v>30</v>
      </c>
      <c r="K100" s="11">
        <f t="shared" si="14"/>
        <v>7.5</v>
      </c>
      <c r="L100" s="11">
        <f>IFERROR(VLOOKUP(D100,Mitarbeiter!$C$6:$I$13,6,FALSE),0)</f>
        <v>8</v>
      </c>
      <c r="M100" s="11">
        <f t="shared" si="15"/>
        <v>-0.5</v>
      </c>
      <c r="N100" s="12">
        <f>IFERROR(VLOOKUP(D100,Mitarbeiter!$C$6:$I$13,7,FALSE),0)</f>
        <v>19.8</v>
      </c>
      <c r="O100" s="12">
        <f t="shared" si="16"/>
        <v>148.5</v>
      </c>
      <c r="P100" s="3"/>
      <c r="Q100" s="3" t="s">
        <v>38</v>
      </c>
      <c r="R100" s="10" t="str">
        <f t="shared" si="17"/>
        <v>OK</v>
      </c>
      <c r="S100" s="19"/>
    </row>
    <row r="101" spans="1:19" ht="18" customHeight="1" x14ac:dyDescent="0.25">
      <c r="A101" s="16">
        <v>46100</v>
      </c>
      <c r="B101" s="10" t="str">
        <f t="shared" si="12"/>
        <v>jueves</v>
      </c>
      <c r="C101" s="14" t="e">
        <f t="shared" ca="1" si="13"/>
        <v>#NAME?</v>
      </c>
      <c r="D101" s="3" t="s">
        <v>89</v>
      </c>
      <c r="E101" s="10" t="str">
        <f>IFERROR(VLOOKUP(D101,Mitarbeiter!$C$6:$I$13,2,FALSE),"")</f>
        <v>Mitarbeiter</v>
      </c>
      <c r="F101" s="10" t="str">
        <f>IFERROR(VLOOKUP(D101,Mitarbeiter!$C$6:$I$13,3,FALSE),"")</f>
        <v>Service</v>
      </c>
      <c r="G101" s="3" t="s">
        <v>7</v>
      </c>
      <c r="H101" s="17">
        <v>0.375</v>
      </c>
      <c r="I101" s="17">
        <v>0.58333333333333337</v>
      </c>
      <c r="J101" s="18">
        <v>0</v>
      </c>
      <c r="K101" s="11">
        <f t="shared" si="14"/>
        <v>5</v>
      </c>
      <c r="L101" s="11">
        <f>IFERROR(VLOOKUP(D101,Mitarbeiter!$C$6:$I$13,6,FALSE),0)</f>
        <v>5</v>
      </c>
      <c r="M101" s="11">
        <f t="shared" si="15"/>
        <v>0</v>
      </c>
      <c r="N101" s="12">
        <f>IFERROR(VLOOKUP(D101,Mitarbeiter!$C$6:$I$13,7,FALSE),0)</f>
        <v>17.8</v>
      </c>
      <c r="O101" s="12">
        <f t="shared" si="16"/>
        <v>89</v>
      </c>
      <c r="P101" s="3"/>
      <c r="Q101" s="3" t="s">
        <v>38</v>
      </c>
      <c r="R101" s="10" t="str">
        <f t="shared" si="17"/>
        <v>OK</v>
      </c>
      <c r="S101" s="19"/>
    </row>
    <row r="102" spans="1:19" ht="18" customHeight="1" x14ac:dyDescent="0.25">
      <c r="A102" s="16">
        <v>46101</v>
      </c>
      <c r="B102" s="10" t="str">
        <f t="shared" ref="B102:B133" si="18">TEXT(A102,"dddd")</f>
        <v>viernes</v>
      </c>
      <c r="C102" s="14" t="e">
        <f t="shared" ref="C102:C133" ca="1" si="19">_xludf.ISOWEEKNUM(A102)</f>
        <v>#NAME?</v>
      </c>
      <c r="D102" s="3" t="s">
        <v>80</v>
      </c>
      <c r="E102" s="10" t="str">
        <f>IFERROR(VLOOKUP(D102,Mitarbeiter!$C$6:$I$13,2,FALSE),"")</f>
        <v>Teamleitung</v>
      </c>
      <c r="F102" s="10" t="str">
        <f>IFERROR(VLOOKUP(D102,Mitarbeiter!$C$6:$I$13,3,FALSE),"")</f>
        <v>Verkauf</v>
      </c>
      <c r="G102" s="3" t="s">
        <v>3</v>
      </c>
      <c r="H102" s="17">
        <v>0.25</v>
      </c>
      <c r="I102" s="17">
        <v>0.58333333333333337</v>
      </c>
      <c r="J102" s="18">
        <v>30</v>
      </c>
      <c r="K102" s="11">
        <f t="shared" ref="K102:K133" si="20">IF(OR(P102="Urlaub",P102="Krankheit",P102="Frei",P102="Feiertag"),0,IF(OR(H102="",I102=""),0,ROUND((MOD(I102-H102,1)*24)-(J102/60),2)))</f>
        <v>7.5</v>
      </c>
      <c r="L102" s="11">
        <f>IFERROR(VLOOKUP(D102,Mitarbeiter!$C$6:$I$13,6,FALSE),0)</f>
        <v>8</v>
      </c>
      <c r="M102" s="11">
        <f t="shared" ref="M102:M133" si="21">K102-L102</f>
        <v>-0.5</v>
      </c>
      <c r="N102" s="12">
        <f>IFERROR(VLOOKUP(D102,Mitarbeiter!$C$6:$I$13,7,FALSE),0)</f>
        <v>24.5</v>
      </c>
      <c r="O102" s="12">
        <f t="shared" ref="O102:O133" si="22">K102*N102</f>
        <v>183.75</v>
      </c>
      <c r="P102" s="3"/>
      <c r="Q102" s="3" t="s">
        <v>38</v>
      </c>
      <c r="R102" s="10" t="str">
        <f t="shared" ref="R102:R133" si="23">IF(P102&lt;&gt;"","Ruhetag / Abwesenheit",IF(M102&gt;2,"Überstunden",IF(M102&lt;-2,"Unter Soll","OK")))</f>
        <v>OK</v>
      </c>
      <c r="S102" s="19"/>
    </row>
    <row r="103" spans="1:19" ht="18" customHeight="1" x14ac:dyDescent="0.25">
      <c r="A103" s="16">
        <v>46101</v>
      </c>
      <c r="B103" s="10" t="str">
        <f t="shared" si="18"/>
        <v>viernes</v>
      </c>
      <c r="C103" s="14" t="e">
        <f t="shared" ca="1" si="19"/>
        <v>#NAME?</v>
      </c>
      <c r="D103" s="3" t="s">
        <v>85</v>
      </c>
      <c r="E103" s="10" t="str">
        <f>IFERROR(VLOOKUP(D103,Mitarbeiter!$C$6:$I$13,2,FALSE),"")</f>
        <v>Mitarbeiter</v>
      </c>
      <c r="F103" s="10" t="str">
        <f>IFERROR(VLOOKUP(D103,Mitarbeiter!$C$6:$I$13,3,FALSE),"")</f>
        <v>Verkauf</v>
      </c>
      <c r="G103" s="3" t="s">
        <v>3</v>
      </c>
      <c r="H103" s="17">
        <v>0.25</v>
      </c>
      <c r="I103" s="17">
        <v>0.58333333333333337</v>
      </c>
      <c r="J103" s="18">
        <v>30</v>
      </c>
      <c r="K103" s="11">
        <f t="shared" si="20"/>
        <v>7.5</v>
      </c>
      <c r="L103" s="11">
        <f>IFERROR(VLOOKUP(D103,Mitarbeiter!$C$6:$I$13,6,FALSE),0)</f>
        <v>8</v>
      </c>
      <c r="M103" s="11">
        <f t="shared" si="21"/>
        <v>-0.5</v>
      </c>
      <c r="N103" s="12">
        <f>IFERROR(VLOOKUP(D103,Mitarbeiter!$C$6:$I$13,7,FALSE),0)</f>
        <v>18.5</v>
      </c>
      <c r="O103" s="12">
        <f t="shared" si="22"/>
        <v>138.75</v>
      </c>
      <c r="P103" s="3"/>
      <c r="Q103" s="3" t="s">
        <v>38</v>
      </c>
      <c r="R103" s="10" t="str">
        <f t="shared" si="23"/>
        <v>OK</v>
      </c>
      <c r="S103" s="19"/>
    </row>
    <row r="104" spans="1:19" ht="18" customHeight="1" x14ac:dyDescent="0.25">
      <c r="A104" s="16">
        <v>46101</v>
      </c>
      <c r="B104" s="10" t="str">
        <f t="shared" si="18"/>
        <v>viernes</v>
      </c>
      <c r="C104" s="14" t="e">
        <f t="shared" ca="1" si="19"/>
        <v>#NAME?</v>
      </c>
      <c r="D104" s="3" t="s">
        <v>94</v>
      </c>
      <c r="E104" s="10" t="str">
        <f>IFERROR(VLOOKUP(D104,Mitarbeiter!$C$6:$I$13,2,FALSE),"")</f>
        <v>Mitarbeiter</v>
      </c>
      <c r="F104" s="10" t="str">
        <f>IFERROR(VLOOKUP(D104,Mitarbeiter!$C$6:$I$13,3,FALSE),"")</f>
        <v>Lager</v>
      </c>
      <c r="G104" s="3" t="s">
        <v>4</v>
      </c>
      <c r="H104" s="17">
        <v>0.58333333333333337</v>
      </c>
      <c r="I104" s="17">
        <v>0.91666666666666663</v>
      </c>
      <c r="J104" s="18">
        <v>30</v>
      </c>
      <c r="K104" s="11">
        <f t="shared" si="20"/>
        <v>7.5</v>
      </c>
      <c r="L104" s="11">
        <f>IFERROR(VLOOKUP(D104,Mitarbeiter!$C$6:$I$13,6,FALSE),0)</f>
        <v>8</v>
      </c>
      <c r="M104" s="11">
        <f t="shared" si="21"/>
        <v>-0.5</v>
      </c>
      <c r="N104" s="12">
        <f>IFERROR(VLOOKUP(D104,Mitarbeiter!$C$6:$I$13,7,FALSE),0)</f>
        <v>19.2</v>
      </c>
      <c r="O104" s="12">
        <f t="shared" si="22"/>
        <v>144</v>
      </c>
      <c r="P104" s="3"/>
      <c r="Q104" s="3" t="s">
        <v>38</v>
      </c>
      <c r="R104" s="10" t="str">
        <f t="shared" si="23"/>
        <v>OK</v>
      </c>
      <c r="S104" s="19"/>
    </row>
    <row r="105" spans="1:19" ht="18" customHeight="1" x14ac:dyDescent="0.25">
      <c r="A105" s="16">
        <v>46101</v>
      </c>
      <c r="B105" s="10" t="str">
        <f t="shared" si="18"/>
        <v>viernes</v>
      </c>
      <c r="C105" s="14" t="e">
        <f t="shared" ca="1" si="19"/>
        <v>#NAME?</v>
      </c>
      <c r="D105" s="3" t="s">
        <v>98</v>
      </c>
      <c r="E105" s="10" t="str">
        <f>IFERROR(VLOOKUP(D105,Mitarbeiter!$C$6:$I$13,2,FALSE),"")</f>
        <v>Verwaltung</v>
      </c>
      <c r="F105" s="10" t="str">
        <f>IFERROR(VLOOKUP(D105,Mitarbeiter!$C$6:$I$13,3,FALSE),"")</f>
        <v>Büro</v>
      </c>
      <c r="G105" s="3" t="s">
        <v>6</v>
      </c>
      <c r="H105" s="17">
        <v>0.375</v>
      </c>
      <c r="I105" s="17">
        <v>0.70833333333333337</v>
      </c>
      <c r="J105" s="18">
        <v>60</v>
      </c>
      <c r="K105" s="11">
        <f t="shared" si="20"/>
        <v>7</v>
      </c>
      <c r="L105" s="11">
        <f>IFERROR(VLOOKUP(D105,Mitarbeiter!$C$6:$I$13,6,FALSE),0)</f>
        <v>7.6</v>
      </c>
      <c r="M105" s="11">
        <f t="shared" si="21"/>
        <v>-0.59999999999999964</v>
      </c>
      <c r="N105" s="12">
        <f>IFERROR(VLOOKUP(D105,Mitarbeiter!$C$6:$I$13,7,FALSE),0)</f>
        <v>22</v>
      </c>
      <c r="O105" s="12">
        <f t="shared" si="22"/>
        <v>154</v>
      </c>
      <c r="P105" s="3"/>
      <c r="Q105" s="3" t="s">
        <v>38</v>
      </c>
      <c r="R105" s="10" t="str">
        <f t="shared" si="23"/>
        <v>OK</v>
      </c>
      <c r="S105" s="19"/>
    </row>
    <row r="106" spans="1:19" ht="18" customHeight="1" x14ac:dyDescent="0.25">
      <c r="A106" s="16">
        <v>46101</v>
      </c>
      <c r="B106" s="10" t="str">
        <f t="shared" si="18"/>
        <v>viernes</v>
      </c>
      <c r="C106" s="14" t="e">
        <f t="shared" ca="1" si="19"/>
        <v>#NAME?</v>
      </c>
      <c r="D106" s="3" t="s">
        <v>112</v>
      </c>
      <c r="E106" s="10" t="str">
        <f>IFERROR(VLOOKUP(D106,Mitarbeiter!$C$6:$I$13,2,FALSE),"")</f>
        <v>Mitarbeiter</v>
      </c>
      <c r="F106" s="10" t="str">
        <f>IFERROR(VLOOKUP(D106,Mitarbeiter!$C$6:$I$13,3,FALSE),"")</f>
        <v>Produktion</v>
      </c>
      <c r="G106" s="3" t="s">
        <v>3</v>
      </c>
      <c r="H106" s="17">
        <v>0.25</v>
      </c>
      <c r="I106" s="17">
        <v>0.58333333333333337</v>
      </c>
      <c r="J106" s="18">
        <v>30</v>
      </c>
      <c r="K106" s="11">
        <f t="shared" si="20"/>
        <v>7.5</v>
      </c>
      <c r="L106" s="11">
        <f>IFERROR(VLOOKUP(D106,Mitarbeiter!$C$6:$I$13,6,FALSE),0)</f>
        <v>8</v>
      </c>
      <c r="M106" s="11">
        <f t="shared" si="21"/>
        <v>-0.5</v>
      </c>
      <c r="N106" s="12">
        <f>IFERROR(VLOOKUP(D106,Mitarbeiter!$C$6:$I$13,7,FALSE),0)</f>
        <v>19.8</v>
      </c>
      <c r="O106" s="12">
        <f t="shared" si="22"/>
        <v>148.5</v>
      </c>
      <c r="P106" s="3"/>
      <c r="Q106" s="3" t="s">
        <v>38</v>
      </c>
      <c r="R106" s="10" t="str">
        <f t="shared" si="23"/>
        <v>OK</v>
      </c>
      <c r="S106" s="19"/>
    </row>
    <row r="107" spans="1:19" ht="18" customHeight="1" x14ac:dyDescent="0.25">
      <c r="A107" s="16">
        <v>46102</v>
      </c>
      <c r="B107" s="10" t="str">
        <f t="shared" si="18"/>
        <v>sábado</v>
      </c>
      <c r="C107" s="14" t="e">
        <f t="shared" ca="1" si="19"/>
        <v>#NAME?</v>
      </c>
      <c r="D107" s="3" t="s">
        <v>103</v>
      </c>
      <c r="E107" s="10" t="str">
        <f>IFERROR(VLOOKUP(D107,Mitarbeiter!$C$6:$I$13,2,FALSE),"")</f>
        <v>Aushilfe</v>
      </c>
      <c r="F107" s="10" t="str">
        <f>IFERROR(VLOOKUP(D107,Mitarbeiter!$C$6:$I$13,3,FALSE),"")</f>
        <v>Service</v>
      </c>
      <c r="G107" s="3" t="s">
        <v>7</v>
      </c>
      <c r="H107" s="17">
        <v>0.375</v>
      </c>
      <c r="I107" s="17">
        <v>0.54166666666666663</v>
      </c>
      <c r="J107" s="18">
        <v>0</v>
      </c>
      <c r="K107" s="11">
        <f t="shared" si="20"/>
        <v>4</v>
      </c>
      <c r="L107" s="11">
        <f>IFERROR(VLOOKUP(D107,Mitarbeiter!$C$6:$I$13,6,FALSE),0)</f>
        <v>4</v>
      </c>
      <c r="M107" s="11">
        <f t="shared" si="21"/>
        <v>0</v>
      </c>
      <c r="N107" s="12">
        <f>IFERROR(VLOOKUP(D107,Mitarbeiter!$C$6:$I$13,7,FALSE),0)</f>
        <v>15</v>
      </c>
      <c r="O107" s="12">
        <f t="shared" si="22"/>
        <v>60</v>
      </c>
      <c r="P107" s="3"/>
      <c r="Q107" s="3" t="s">
        <v>38</v>
      </c>
      <c r="R107" s="10" t="str">
        <f t="shared" si="23"/>
        <v>OK</v>
      </c>
      <c r="S107" s="19"/>
    </row>
    <row r="108" spans="1:19" ht="18" customHeight="1" x14ac:dyDescent="0.25">
      <c r="A108" s="16">
        <v>46102</v>
      </c>
      <c r="B108" s="10" t="str">
        <f t="shared" si="18"/>
        <v>sábado</v>
      </c>
      <c r="C108" s="14" t="e">
        <f t="shared" ca="1" si="19"/>
        <v>#NAME?</v>
      </c>
      <c r="D108" s="3" t="s">
        <v>89</v>
      </c>
      <c r="E108" s="10" t="str">
        <f>IFERROR(VLOOKUP(D108,Mitarbeiter!$C$6:$I$13,2,FALSE),"")</f>
        <v>Mitarbeiter</v>
      </c>
      <c r="F108" s="10" t="str">
        <f>IFERROR(VLOOKUP(D108,Mitarbeiter!$C$6:$I$13,3,FALSE),"")</f>
        <v>Service</v>
      </c>
      <c r="G108" s="3" t="s">
        <v>7</v>
      </c>
      <c r="H108" s="17">
        <v>0.375</v>
      </c>
      <c r="I108" s="17">
        <v>0.58333333333333337</v>
      </c>
      <c r="J108" s="18">
        <v>0</v>
      </c>
      <c r="K108" s="11">
        <f t="shared" si="20"/>
        <v>5</v>
      </c>
      <c r="L108" s="11">
        <f>IFERROR(VLOOKUP(D108,Mitarbeiter!$C$6:$I$13,6,FALSE),0)</f>
        <v>5</v>
      </c>
      <c r="M108" s="11">
        <f t="shared" si="21"/>
        <v>0</v>
      </c>
      <c r="N108" s="12">
        <f>IFERROR(VLOOKUP(D108,Mitarbeiter!$C$6:$I$13,7,FALSE),0)</f>
        <v>17.8</v>
      </c>
      <c r="O108" s="12">
        <f t="shared" si="22"/>
        <v>89</v>
      </c>
      <c r="P108" s="3"/>
      <c r="Q108" s="3" t="s">
        <v>38</v>
      </c>
      <c r="R108" s="10" t="str">
        <f t="shared" si="23"/>
        <v>OK</v>
      </c>
      <c r="S108" s="19"/>
    </row>
    <row r="109" spans="1:19" ht="18" customHeight="1" x14ac:dyDescent="0.25">
      <c r="A109" s="16">
        <v>46102</v>
      </c>
      <c r="B109" s="10" t="str">
        <f t="shared" si="18"/>
        <v>sábado</v>
      </c>
      <c r="C109" s="14" t="e">
        <f t="shared" ca="1" si="19"/>
        <v>#NAME?</v>
      </c>
      <c r="D109" s="3" t="s">
        <v>112</v>
      </c>
      <c r="E109" s="10" t="str">
        <f>IFERROR(VLOOKUP(D109,Mitarbeiter!$C$6:$I$13,2,FALSE),"")</f>
        <v>Mitarbeiter</v>
      </c>
      <c r="F109" s="10" t="str">
        <f>IFERROR(VLOOKUP(D109,Mitarbeiter!$C$6:$I$13,3,FALSE),"")</f>
        <v>Produktion</v>
      </c>
      <c r="G109" s="3" t="s">
        <v>3</v>
      </c>
      <c r="H109" s="17">
        <v>0.25</v>
      </c>
      <c r="I109" s="17">
        <v>0.58333333333333337</v>
      </c>
      <c r="J109" s="18">
        <v>30</v>
      </c>
      <c r="K109" s="11">
        <f t="shared" si="20"/>
        <v>7.5</v>
      </c>
      <c r="L109" s="11">
        <f>IFERROR(VLOOKUP(D109,Mitarbeiter!$C$6:$I$13,6,FALSE),0)</f>
        <v>8</v>
      </c>
      <c r="M109" s="11">
        <f t="shared" si="21"/>
        <v>-0.5</v>
      </c>
      <c r="N109" s="12">
        <f>IFERROR(VLOOKUP(D109,Mitarbeiter!$C$6:$I$13,7,FALSE),0)</f>
        <v>19.8</v>
      </c>
      <c r="O109" s="12">
        <f t="shared" si="22"/>
        <v>148.5</v>
      </c>
      <c r="P109" s="3"/>
      <c r="Q109" s="3" t="s">
        <v>38</v>
      </c>
      <c r="R109" s="10" t="str">
        <f t="shared" si="23"/>
        <v>OK</v>
      </c>
      <c r="S109" s="19"/>
    </row>
    <row r="110" spans="1:19" ht="18" customHeight="1" x14ac:dyDescent="0.25">
      <c r="A110" s="16">
        <v>46103</v>
      </c>
      <c r="B110" s="10" t="str">
        <f t="shared" si="18"/>
        <v>domingo</v>
      </c>
      <c r="C110" s="14" t="e">
        <f t="shared" ca="1" si="19"/>
        <v>#NAME?</v>
      </c>
      <c r="D110" s="3" t="s">
        <v>103</v>
      </c>
      <c r="E110" s="10" t="str">
        <f>IFERROR(VLOOKUP(D110,Mitarbeiter!$C$6:$I$13,2,FALSE),"")</f>
        <v>Aushilfe</v>
      </c>
      <c r="F110" s="10" t="str">
        <f>IFERROR(VLOOKUP(D110,Mitarbeiter!$C$6:$I$13,3,FALSE),"")</f>
        <v>Service</v>
      </c>
      <c r="G110" s="3" t="s">
        <v>7</v>
      </c>
      <c r="H110" s="17">
        <v>0.375</v>
      </c>
      <c r="I110" s="17">
        <v>0.54166666666666663</v>
      </c>
      <c r="J110" s="18">
        <v>0</v>
      </c>
      <c r="K110" s="11">
        <f t="shared" si="20"/>
        <v>4</v>
      </c>
      <c r="L110" s="11">
        <f>IFERROR(VLOOKUP(D110,Mitarbeiter!$C$6:$I$13,6,FALSE),0)</f>
        <v>4</v>
      </c>
      <c r="M110" s="11">
        <f t="shared" si="21"/>
        <v>0</v>
      </c>
      <c r="N110" s="12">
        <f>IFERROR(VLOOKUP(D110,Mitarbeiter!$C$6:$I$13,7,FALSE),0)</f>
        <v>15</v>
      </c>
      <c r="O110" s="12">
        <f t="shared" si="22"/>
        <v>60</v>
      </c>
      <c r="P110" s="3"/>
      <c r="Q110" s="3" t="s">
        <v>38</v>
      </c>
      <c r="R110" s="10" t="str">
        <f t="shared" si="23"/>
        <v>OK</v>
      </c>
      <c r="S110" s="19"/>
    </row>
    <row r="111" spans="1:19" ht="18" customHeight="1" x14ac:dyDescent="0.25">
      <c r="A111" s="16">
        <v>46103</v>
      </c>
      <c r="B111" s="10" t="str">
        <f t="shared" si="18"/>
        <v>domingo</v>
      </c>
      <c r="C111" s="14" t="e">
        <f t="shared" ca="1" si="19"/>
        <v>#NAME?</v>
      </c>
      <c r="D111" s="3" t="s">
        <v>89</v>
      </c>
      <c r="E111" s="10" t="str">
        <f>IFERROR(VLOOKUP(D111,Mitarbeiter!$C$6:$I$13,2,FALSE),"")</f>
        <v>Mitarbeiter</v>
      </c>
      <c r="F111" s="10" t="str">
        <f>IFERROR(VLOOKUP(D111,Mitarbeiter!$C$6:$I$13,3,FALSE),"")</f>
        <v>Service</v>
      </c>
      <c r="G111" s="3" t="s">
        <v>7</v>
      </c>
      <c r="H111" s="17">
        <v>0.375</v>
      </c>
      <c r="I111" s="17">
        <v>0.58333333333333337</v>
      </c>
      <c r="J111" s="18">
        <v>0</v>
      </c>
      <c r="K111" s="11">
        <f t="shared" si="20"/>
        <v>5</v>
      </c>
      <c r="L111" s="11">
        <f>IFERROR(VLOOKUP(D111,Mitarbeiter!$C$6:$I$13,6,FALSE),0)</f>
        <v>5</v>
      </c>
      <c r="M111" s="11">
        <f t="shared" si="21"/>
        <v>0</v>
      </c>
      <c r="N111" s="12">
        <f>IFERROR(VLOOKUP(D111,Mitarbeiter!$C$6:$I$13,7,FALSE),0)</f>
        <v>17.8</v>
      </c>
      <c r="O111" s="12">
        <f t="shared" si="22"/>
        <v>89</v>
      </c>
      <c r="P111" s="3"/>
      <c r="Q111" s="3" t="s">
        <v>38</v>
      </c>
      <c r="R111" s="10" t="str">
        <f t="shared" si="23"/>
        <v>OK</v>
      </c>
      <c r="S111" s="19"/>
    </row>
    <row r="112" spans="1:19" ht="18" customHeight="1" x14ac:dyDescent="0.25">
      <c r="A112" s="16">
        <v>46104</v>
      </c>
      <c r="B112" s="10" t="str">
        <f t="shared" si="18"/>
        <v>lunes</v>
      </c>
      <c r="C112" s="14" t="e">
        <f t="shared" ca="1" si="19"/>
        <v>#NAME?</v>
      </c>
      <c r="D112" s="3" t="s">
        <v>80</v>
      </c>
      <c r="E112" s="10" t="str">
        <f>IFERROR(VLOOKUP(D112,Mitarbeiter!$C$6:$I$13,2,FALSE),"")</f>
        <v>Teamleitung</v>
      </c>
      <c r="F112" s="10" t="str">
        <f>IFERROR(VLOOKUP(D112,Mitarbeiter!$C$6:$I$13,3,FALSE),"")</f>
        <v>Verkauf</v>
      </c>
      <c r="G112" s="3" t="s">
        <v>3</v>
      </c>
      <c r="H112" s="17">
        <v>0.25</v>
      </c>
      <c r="I112" s="17">
        <v>0.58333333333333337</v>
      </c>
      <c r="J112" s="18">
        <v>30</v>
      </c>
      <c r="K112" s="11">
        <f t="shared" si="20"/>
        <v>7.5</v>
      </c>
      <c r="L112" s="11">
        <f>IFERROR(VLOOKUP(D112,Mitarbeiter!$C$6:$I$13,6,FALSE),0)</f>
        <v>8</v>
      </c>
      <c r="M112" s="11">
        <f t="shared" si="21"/>
        <v>-0.5</v>
      </c>
      <c r="N112" s="12">
        <f>IFERROR(VLOOKUP(D112,Mitarbeiter!$C$6:$I$13,7,FALSE),0)</f>
        <v>24.5</v>
      </c>
      <c r="O112" s="12">
        <f t="shared" si="22"/>
        <v>183.75</v>
      </c>
      <c r="P112" s="3"/>
      <c r="Q112" s="3" t="s">
        <v>38</v>
      </c>
      <c r="R112" s="10" t="str">
        <f t="shared" si="23"/>
        <v>OK</v>
      </c>
      <c r="S112" s="19"/>
    </row>
    <row r="113" spans="1:19" ht="18" customHeight="1" x14ac:dyDescent="0.25">
      <c r="A113" s="16">
        <v>46104</v>
      </c>
      <c r="B113" s="10" t="str">
        <f t="shared" si="18"/>
        <v>lunes</v>
      </c>
      <c r="C113" s="14" t="e">
        <f t="shared" ca="1" si="19"/>
        <v>#NAME?</v>
      </c>
      <c r="D113" s="3" t="s">
        <v>85</v>
      </c>
      <c r="E113" s="10" t="str">
        <f>IFERROR(VLOOKUP(D113,Mitarbeiter!$C$6:$I$13,2,FALSE),"")</f>
        <v>Mitarbeiter</v>
      </c>
      <c r="F113" s="10" t="str">
        <f>IFERROR(VLOOKUP(D113,Mitarbeiter!$C$6:$I$13,3,FALSE),"")</f>
        <v>Verkauf</v>
      </c>
      <c r="G113" s="3" t="s">
        <v>3</v>
      </c>
      <c r="H113" s="17">
        <v>0.25</v>
      </c>
      <c r="I113" s="17">
        <v>0.58333333333333337</v>
      </c>
      <c r="J113" s="18">
        <v>30</v>
      </c>
      <c r="K113" s="11">
        <f t="shared" si="20"/>
        <v>7.5</v>
      </c>
      <c r="L113" s="11">
        <f>IFERROR(VLOOKUP(D113,Mitarbeiter!$C$6:$I$13,6,FALSE),0)</f>
        <v>8</v>
      </c>
      <c r="M113" s="11">
        <f t="shared" si="21"/>
        <v>-0.5</v>
      </c>
      <c r="N113" s="12">
        <f>IFERROR(VLOOKUP(D113,Mitarbeiter!$C$6:$I$13,7,FALSE),0)</f>
        <v>18.5</v>
      </c>
      <c r="O113" s="12">
        <f t="shared" si="22"/>
        <v>138.75</v>
      </c>
      <c r="P113" s="3"/>
      <c r="Q113" s="3" t="s">
        <v>38</v>
      </c>
      <c r="R113" s="10" t="str">
        <f t="shared" si="23"/>
        <v>OK</v>
      </c>
      <c r="S113" s="19"/>
    </row>
    <row r="114" spans="1:19" ht="18" customHeight="1" x14ac:dyDescent="0.25">
      <c r="A114" s="16">
        <v>46104</v>
      </c>
      <c r="B114" s="10" t="str">
        <f t="shared" si="18"/>
        <v>lunes</v>
      </c>
      <c r="C114" s="14" t="e">
        <f t="shared" ca="1" si="19"/>
        <v>#NAME?</v>
      </c>
      <c r="D114" s="3" t="s">
        <v>94</v>
      </c>
      <c r="E114" s="10" t="str">
        <f>IFERROR(VLOOKUP(D114,Mitarbeiter!$C$6:$I$13,2,FALSE),"")</f>
        <v>Mitarbeiter</v>
      </c>
      <c r="F114" s="10" t="str">
        <f>IFERROR(VLOOKUP(D114,Mitarbeiter!$C$6:$I$13,3,FALSE),"")</f>
        <v>Lager</v>
      </c>
      <c r="G114" s="3" t="s">
        <v>4</v>
      </c>
      <c r="H114" s="17">
        <v>0.58333333333333337</v>
      </c>
      <c r="I114" s="17">
        <v>0.91666666666666663</v>
      </c>
      <c r="J114" s="18">
        <v>30</v>
      </c>
      <c r="K114" s="11">
        <f t="shared" si="20"/>
        <v>7.5</v>
      </c>
      <c r="L114" s="11">
        <f>IFERROR(VLOOKUP(D114,Mitarbeiter!$C$6:$I$13,6,FALSE),0)</f>
        <v>8</v>
      </c>
      <c r="M114" s="11">
        <f t="shared" si="21"/>
        <v>-0.5</v>
      </c>
      <c r="N114" s="12">
        <f>IFERROR(VLOOKUP(D114,Mitarbeiter!$C$6:$I$13,7,FALSE),0)</f>
        <v>19.2</v>
      </c>
      <c r="O114" s="12">
        <f t="shared" si="22"/>
        <v>144</v>
      </c>
      <c r="P114" s="3"/>
      <c r="Q114" s="3" t="s">
        <v>38</v>
      </c>
      <c r="R114" s="10" t="str">
        <f t="shared" si="23"/>
        <v>OK</v>
      </c>
      <c r="S114" s="19"/>
    </row>
    <row r="115" spans="1:19" ht="18" customHeight="1" x14ac:dyDescent="0.25">
      <c r="A115" s="16">
        <v>46104</v>
      </c>
      <c r="B115" s="10" t="str">
        <f t="shared" si="18"/>
        <v>lunes</v>
      </c>
      <c r="C115" s="14" t="e">
        <f t="shared" ca="1" si="19"/>
        <v>#NAME?</v>
      </c>
      <c r="D115" s="3" t="s">
        <v>98</v>
      </c>
      <c r="E115" s="10" t="str">
        <f>IFERROR(VLOOKUP(D115,Mitarbeiter!$C$6:$I$13,2,FALSE),"")</f>
        <v>Verwaltung</v>
      </c>
      <c r="F115" s="10" t="str">
        <f>IFERROR(VLOOKUP(D115,Mitarbeiter!$C$6:$I$13,3,FALSE),"")</f>
        <v>Büro</v>
      </c>
      <c r="G115" s="3" t="s">
        <v>6</v>
      </c>
      <c r="H115" s="17">
        <v>0.375</v>
      </c>
      <c r="I115" s="17">
        <v>0.70833333333333337</v>
      </c>
      <c r="J115" s="18">
        <v>60</v>
      </c>
      <c r="K115" s="11">
        <f t="shared" si="20"/>
        <v>7</v>
      </c>
      <c r="L115" s="11">
        <f>IFERROR(VLOOKUP(D115,Mitarbeiter!$C$6:$I$13,6,FALSE),0)</f>
        <v>7.6</v>
      </c>
      <c r="M115" s="11">
        <f t="shared" si="21"/>
        <v>-0.59999999999999964</v>
      </c>
      <c r="N115" s="12">
        <f>IFERROR(VLOOKUP(D115,Mitarbeiter!$C$6:$I$13,7,FALSE),0)</f>
        <v>22</v>
      </c>
      <c r="O115" s="12">
        <f t="shared" si="22"/>
        <v>154</v>
      </c>
      <c r="P115" s="3"/>
      <c r="Q115" s="3" t="s">
        <v>38</v>
      </c>
      <c r="R115" s="10" t="str">
        <f t="shared" si="23"/>
        <v>OK</v>
      </c>
      <c r="S115" s="19"/>
    </row>
    <row r="116" spans="1:19" ht="18" customHeight="1" x14ac:dyDescent="0.25">
      <c r="A116" s="16">
        <v>46104</v>
      </c>
      <c r="B116" s="10" t="str">
        <f t="shared" si="18"/>
        <v>lunes</v>
      </c>
      <c r="C116" s="14" t="e">
        <f t="shared" ca="1" si="19"/>
        <v>#NAME?</v>
      </c>
      <c r="D116" s="3" t="s">
        <v>112</v>
      </c>
      <c r="E116" s="10" t="str">
        <f>IFERROR(VLOOKUP(D116,Mitarbeiter!$C$6:$I$13,2,FALSE),"")</f>
        <v>Mitarbeiter</v>
      </c>
      <c r="F116" s="10" t="str">
        <f>IFERROR(VLOOKUP(D116,Mitarbeiter!$C$6:$I$13,3,FALSE),"")</f>
        <v>Produktion</v>
      </c>
      <c r="G116" s="3" t="s">
        <v>3</v>
      </c>
      <c r="H116" s="17">
        <v>0.25</v>
      </c>
      <c r="I116" s="17">
        <v>0.58333333333333337</v>
      </c>
      <c r="J116" s="18">
        <v>30</v>
      </c>
      <c r="K116" s="11">
        <f t="shared" si="20"/>
        <v>7.5</v>
      </c>
      <c r="L116" s="11">
        <f>IFERROR(VLOOKUP(D116,Mitarbeiter!$C$6:$I$13,6,FALSE),0)</f>
        <v>8</v>
      </c>
      <c r="M116" s="11">
        <f t="shared" si="21"/>
        <v>-0.5</v>
      </c>
      <c r="N116" s="12">
        <f>IFERROR(VLOOKUP(D116,Mitarbeiter!$C$6:$I$13,7,FALSE),0)</f>
        <v>19.8</v>
      </c>
      <c r="O116" s="12">
        <f t="shared" si="22"/>
        <v>148.5</v>
      </c>
      <c r="P116" s="3"/>
      <c r="Q116" s="3" t="s">
        <v>38</v>
      </c>
      <c r="R116" s="10" t="str">
        <f t="shared" si="23"/>
        <v>OK</v>
      </c>
      <c r="S116" s="19"/>
    </row>
    <row r="117" spans="1:19" ht="18" customHeight="1" x14ac:dyDescent="0.25">
      <c r="A117" s="16">
        <v>46104</v>
      </c>
      <c r="B117" s="10" t="str">
        <f t="shared" si="18"/>
        <v>lunes</v>
      </c>
      <c r="C117" s="14" t="e">
        <f t="shared" ca="1" si="19"/>
        <v>#NAME?</v>
      </c>
      <c r="D117" s="3" t="s">
        <v>108</v>
      </c>
      <c r="E117" s="10" t="str">
        <f>IFERROR(VLOOKUP(D117,Mitarbeiter!$C$6:$I$13,2,FALSE),"")</f>
        <v>Mitarbeiter</v>
      </c>
      <c r="F117" s="10" t="str">
        <f>IFERROR(VLOOKUP(D117,Mitarbeiter!$C$6:$I$13,3,FALSE),"")</f>
        <v>Pflege</v>
      </c>
      <c r="G117" s="3" t="s">
        <v>3</v>
      </c>
      <c r="H117" s="17">
        <v>0.29166666666666669</v>
      </c>
      <c r="I117" s="17">
        <v>0.45833333333333331</v>
      </c>
      <c r="J117" s="18">
        <v>30</v>
      </c>
      <c r="K117" s="11">
        <f t="shared" si="20"/>
        <v>3.5</v>
      </c>
      <c r="L117" s="11">
        <f>IFERROR(VLOOKUP(D117,Mitarbeiter!$C$6:$I$13,6,FALSE),0)</f>
        <v>6</v>
      </c>
      <c r="M117" s="11">
        <f t="shared" si="21"/>
        <v>-2.5</v>
      </c>
      <c r="N117" s="12">
        <f>IFERROR(VLOOKUP(D117,Mitarbeiter!$C$6:$I$13,7,FALSE),0)</f>
        <v>20.5</v>
      </c>
      <c r="O117" s="12">
        <f t="shared" si="22"/>
        <v>71.75</v>
      </c>
      <c r="P117" s="3"/>
      <c r="Q117" s="3" t="s">
        <v>38</v>
      </c>
      <c r="R117" s="10" t="str">
        <f t="shared" si="23"/>
        <v>Unter Soll</v>
      </c>
      <c r="S117" s="19"/>
    </row>
    <row r="118" spans="1:19" ht="18" customHeight="1" x14ac:dyDescent="0.25">
      <c r="A118" s="16">
        <v>46105</v>
      </c>
      <c r="B118" s="10" t="str">
        <f t="shared" si="18"/>
        <v>martes</v>
      </c>
      <c r="C118" s="14" t="e">
        <f t="shared" ca="1" si="19"/>
        <v>#NAME?</v>
      </c>
      <c r="D118" s="3" t="s">
        <v>80</v>
      </c>
      <c r="E118" s="10" t="str">
        <f>IFERROR(VLOOKUP(D118,Mitarbeiter!$C$6:$I$13,2,FALSE),"")</f>
        <v>Teamleitung</v>
      </c>
      <c r="F118" s="10" t="str">
        <f>IFERROR(VLOOKUP(D118,Mitarbeiter!$C$6:$I$13,3,FALSE),"")</f>
        <v>Verkauf</v>
      </c>
      <c r="G118" s="3" t="s">
        <v>3</v>
      </c>
      <c r="H118" s="17">
        <v>0.25</v>
      </c>
      <c r="I118" s="17">
        <v>0.58333333333333337</v>
      </c>
      <c r="J118" s="18">
        <v>30</v>
      </c>
      <c r="K118" s="11">
        <f t="shared" si="20"/>
        <v>7.5</v>
      </c>
      <c r="L118" s="11">
        <f>IFERROR(VLOOKUP(D118,Mitarbeiter!$C$6:$I$13,6,FALSE),0)</f>
        <v>8</v>
      </c>
      <c r="M118" s="11">
        <f t="shared" si="21"/>
        <v>-0.5</v>
      </c>
      <c r="N118" s="12">
        <f>IFERROR(VLOOKUP(D118,Mitarbeiter!$C$6:$I$13,7,FALSE),0)</f>
        <v>24.5</v>
      </c>
      <c r="O118" s="12">
        <f t="shared" si="22"/>
        <v>183.75</v>
      </c>
      <c r="P118" s="3"/>
      <c r="Q118" s="3" t="s">
        <v>38</v>
      </c>
      <c r="R118" s="10" t="str">
        <f t="shared" si="23"/>
        <v>OK</v>
      </c>
      <c r="S118" s="19"/>
    </row>
    <row r="119" spans="1:19" ht="18" customHeight="1" x14ac:dyDescent="0.25">
      <c r="A119" s="16">
        <v>46105</v>
      </c>
      <c r="B119" s="10" t="str">
        <f t="shared" si="18"/>
        <v>martes</v>
      </c>
      <c r="C119" s="14" t="e">
        <f t="shared" ca="1" si="19"/>
        <v>#NAME?</v>
      </c>
      <c r="D119" s="3" t="s">
        <v>85</v>
      </c>
      <c r="E119" s="10" t="str">
        <f>IFERROR(VLOOKUP(D119,Mitarbeiter!$C$6:$I$13,2,FALSE),"")</f>
        <v>Mitarbeiter</v>
      </c>
      <c r="F119" s="10" t="str">
        <f>IFERROR(VLOOKUP(D119,Mitarbeiter!$C$6:$I$13,3,FALSE),"")</f>
        <v>Verkauf</v>
      </c>
      <c r="G119" s="3" t="s">
        <v>3</v>
      </c>
      <c r="H119" s="17">
        <v>0.25</v>
      </c>
      <c r="I119" s="17">
        <v>0.58333333333333337</v>
      </c>
      <c r="J119" s="18">
        <v>30</v>
      </c>
      <c r="K119" s="11">
        <f t="shared" si="20"/>
        <v>7.5</v>
      </c>
      <c r="L119" s="11">
        <f>IFERROR(VLOOKUP(D119,Mitarbeiter!$C$6:$I$13,6,FALSE),0)</f>
        <v>8</v>
      </c>
      <c r="M119" s="11">
        <f t="shared" si="21"/>
        <v>-0.5</v>
      </c>
      <c r="N119" s="12">
        <f>IFERROR(VLOOKUP(D119,Mitarbeiter!$C$6:$I$13,7,FALSE),0)</f>
        <v>18.5</v>
      </c>
      <c r="O119" s="12">
        <f t="shared" si="22"/>
        <v>138.75</v>
      </c>
      <c r="P119" s="3"/>
      <c r="Q119" s="3" t="s">
        <v>38</v>
      </c>
      <c r="R119" s="10" t="str">
        <f t="shared" si="23"/>
        <v>OK</v>
      </c>
      <c r="S119" s="19"/>
    </row>
    <row r="120" spans="1:19" ht="18" customHeight="1" x14ac:dyDescent="0.25">
      <c r="A120" s="16">
        <v>46105</v>
      </c>
      <c r="B120" s="10" t="str">
        <f t="shared" si="18"/>
        <v>martes</v>
      </c>
      <c r="C120" s="14" t="e">
        <f t="shared" ca="1" si="19"/>
        <v>#NAME?</v>
      </c>
      <c r="D120" s="3" t="s">
        <v>94</v>
      </c>
      <c r="E120" s="10" t="str">
        <f>IFERROR(VLOOKUP(D120,Mitarbeiter!$C$6:$I$13,2,FALSE),"")</f>
        <v>Mitarbeiter</v>
      </c>
      <c r="F120" s="10" t="str">
        <f>IFERROR(VLOOKUP(D120,Mitarbeiter!$C$6:$I$13,3,FALSE),"")</f>
        <v>Lager</v>
      </c>
      <c r="G120" s="3" t="s">
        <v>4</v>
      </c>
      <c r="H120" s="17">
        <v>0.58333333333333337</v>
      </c>
      <c r="I120" s="17">
        <v>0.91666666666666663</v>
      </c>
      <c r="J120" s="18">
        <v>30</v>
      </c>
      <c r="K120" s="11">
        <f t="shared" si="20"/>
        <v>7.5</v>
      </c>
      <c r="L120" s="11">
        <f>IFERROR(VLOOKUP(D120,Mitarbeiter!$C$6:$I$13,6,FALSE),0)</f>
        <v>8</v>
      </c>
      <c r="M120" s="11">
        <f t="shared" si="21"/>
        <v>-0.5</v>
      </c>
      <c r="N120" s="12">
        <f>IFERROR(VLOOKUP(D120,Mitarbeiter!$C$6:$I$13,7,FALSE),0)</f>
        <v>19.2</v>
      </c>
      <c r="O120" s="12">
        <f t="shared" si="22"/>
        <v>144</v>
      </c>
      <c r="P120" s="3"/>
      <c r="Q120" s="3" t="s">
        <v>38</v>
      </c>
      <c r="R120" s="10" t="str">
        <f t="shared" si="23"/>
        <v>OK</v>
      </c>
      <c r="S120" s="19"/>
    </row>
    <row r="121" spans="1:19" ht="18" customHeight="1" x14ac:dyDescent="0.25">
      <c r="A121" s="16">
        <v>46105</v>
      </c>
      <c r="B121" s="10" t="str">
        <f t="shared" si="18"/>
        <v>martes</v>
      </c>
      <c r="C121" s="14" t="e">
        <f t="shared" ca="1" si="19"/>
        <v>#NAME?</v>
      </c>
      <c r="D121" s="3" t="s">
        <v>98</v>
      </c>
      <c r="E121" s="10" t="str">
        <f>IFERROR(VLOOKUP(D121,Mitarbeiter!$C$6:$I$13,2,FALSE),"")</f>
        <v>Verwaltung</v>
      </c>
      <c r="F121" s="10" t="str">
        <f>IFERROR(VLOOKUP(D121,Mitarbeiter!$C$6:$I$13,3,FALSE),"")</f>
        <v>Büro</v>
      </c>
      <c r="G121" s="3" t="s">
        <v>6</v>
      </c>
      <c r="H121" s="17"/>
      <c r="I121" s="17"/>
      <c r="J121" s="18">
        <v>0</v>
      </c>
      <c r="K121" s="11">
        <f t="shared" si="20"/>
        <v>0</v>
      </c>
      <c r="L121" s="11">
        <f>IFERROR(VLOOKUP(D121,Mitarbeiter!$C$6:$I$13,6,FALSE),0)</f>
        <v>7.6</v>
      </c>
      <c r="M121" s="11">
        <f t="shared" si="21"/>
        <v>-7.6</v>
      </c>
      <c r="N121" s="12">
        <f>IFERROR(VLOOKUP(D121,Mitarbeiter!$C$6:$I$13,7,FALSE),0)</f>
        <v>22</v>
      </c>
      <c r="O121" s="12">
        <f t="shared" si="22"/>
        <v>0</v>
      </c>
      <c r="P121" s="3" t="s">
        <v>34</v>
      </c>
      <c r="Q121" s="3" t="s">
        <v>38</v>
      </c>
      <c r="R121" s="10" t="str">
        <f t="shared" si="23"/>
        <v>Ruhetag / Abwesenheit</v>
      </c>
      <c r="S121" s="19"/>
    </row>
    <row r="122" spans="1:19" ht="18" customHeight="1" x14ac:dyDescent="0.25">
      <c r="A122" s="16">
        <v>46105</v>
      </c>
      <c r="B122" s="10" t="str">
        <f t="shared" si="18"/>
        <v>martes</v>
      </c>
      <c r="C122" s="14" t="e">
        <f t="shared" ca="1" si="19"/>
        <v>#NAME?</v>
      </c>
      <c r="D122" s="3" t="s">
        <v>112</v>
      </c>
      <c r="E122" s="10" t="str">
        <f>IFERROR(VLOOKUP(D122,Mitarbeiter!$C$6:$I$13,2,FALSE),"")</f>
        <v>Mitarbeiter</v>
      </c>
      <c r="F122" s="10" t="str">
        <f>IFERROR(VLOOKUP(D122,Mitarbeiter!$C$6:$I$13,3,FALSE),"")</f>
        <v>Produktion</v>
      </c>
      <c r="G122" s="3" t="s">
        <v>3</v>
      </c>
      <c r="H122" s="17">
        <v>0.25</v>
      </c>
      <c r="I122" s="17">
        <v>0.58333333333333337</v>
      </c>
      <c r="J122" s="18">
        <v>30</v>
      </c>
      <c r="K122" s="11">
        <f t="shared" si="20"/>
        <v>7.5</v>
      </c>
      <c r="L122" s="11">
        <f>IFERROR(VLOOKUP(D122,Mitarbeiter!$C$6:$I$13,6,FALSE),0)</f>
        <v>8</v>
      </c>
      <c r="M122" s="11">
        <f t="shared" si="21"/>
        <v>-0.5</v>
      </c>
      <c r="N122" s="12">
        <f>IFERROR(VLOOKUP(D122,Mitarbeiter!$C$6:$I$13,7,FALSE),0)</f>
        <v>19.8</v>
      </c>
      <c r="O122" s="12">
        <f t="shared" si="22"/>
        <v>148.5</v>
      </c>
      <c r="P122" s="3"/>
      <c r="Q122" s="3" t="s">
        <v>38</v>
      </c>
      <c r="R122" s="10" t="str">
        <f t="shared" si="23"/>
        <v>OK</v>
      </c>
      <c r="S122" s="19"/>
    </row>
    <row r="123" spans="1:19" ht="18" customHeight="1" x14ac:dyDescent="0.25">
      <c r="A123" s="16">
        <v>46105</v>
      </c>
      <c r="B123" s="10" t="str">
        <f t="shared" si="18"/>
        <v>martes</v>
      </c>
      <c r="C123" s="14" t="e">
        <f t="shared" ca="1" si="19"/>
        <v>#NAME?</v>
      </c>
      <c r="D123" s="3" t="s">
        <v>89</v>
      </c>
      <c r="E123" s="10" t="str">
        <f>IFERROR(VLOOKUP(D123,Mitarbeiter!$C$6:$I$13,2,FALSE),"")</f>
        <v>Mitarbeiter</v>
      </c>
      <c r="F123" s="10" t="str">
        <f>IFERROR(VLOOKUP(D123,Mitarbeiter!$C$6:$I$13,3,FALSE),"")</f>
        <v>Service</v>
      </c>
      <c r="G123" s="3" t="s">
        <v>7</v>
      </c>
      <c r="H123" s="17">
        <v>0.375</v>
      </c>
      <c r="I123" s="17">
        <v>0.58333333333333337</v>
      </c>
      <c r="J123" s="18">
        <v>0</v>
      </c>
      <c r="K123" s="11">
        <f t="shared" si="20"/>
        <v>5</v>
      </c>
      <c r="L123" s="11">
        <f>IFERROR(VLOOKUP(D123,Mitarbeiter!$C$6:$I$13,6,FALSE),0)</f>
        <v>5</v>
      </c>
      <c r="M123" s="11">
        <f t="shared" si="21"/>
        <v>0</v>
      </c>
      <c r="N123" s="12">
        <f>IFERROR(VLOOKUP(D123,Mitarbeiter!$C$6:$I$13,7,FALSE),0)</f>
        <v>17.8</v>
      </c>
      <c r="O123" s="12">
        <f t="shared" si="22"/>
        <v>89</v>
      </c>
      <c r="P123" s="3"/>
      <c r="Q123" s="3" t="s">
        <v>38</v>
      </c>
      <c r="R123" s="10" t="str">
        <f t="shared" si="23"/>
        <v>OK</v>
      </c>
      <c r="S123" s="19"/>
    </row>
    <row r="124" spans="1:19" ht="18" customHeight="1" x14ac:dyDescent="0.25">
      <c r="A124" s="16">
        <v>46106</v>
      </c>
      <c r="B124" s="10" t="str">
        <f t="shared" si="18"/>
        <v>miércoles</v>
      </c>
      <c r="C124" s="14" t="e">
        <f t="shared" ca="1" si="19"/>
        <v>#NAME?</v>
      </c>
      <c r="D124" s="3" t="s">
        <v>80</v>
      </c>
      <c r="E124" s="10" t="str">
        <f>IFERROR(VLOOKUP(D124,Mitarbeiter!$C$6:$I$13,2,FALSE),"")</f>
        <v>Teamleitung</v>
      </c>
      <c r="F124" s="10" t="str">
        <f>IFERROR(VLOOKUP(D124,Mitarbeiter!$C$6:$I$13,3,FALSE),"")</f>
        <v>Verkauf</v>
      </c>
      <c r="G124" s="3" t="s">
        <v>3</v>
      </c>
      <c r="H124" s="17">
        <v>0.25</v>
      </c>
      <c r="I124" s="17">
        <v>0.58333333333333337</v>
      </c>
      <c r="J124" s="18">
        <v>30</v>
      </c>
      <c r="K124" s="11">
        <f t="shared" si="20"/>
        <v>7.5</v>
      </c>
      <c r="L124" s="11">
        <f>IFERROR(VLOOKUP(D124,Mitarbeiter!$C$6:$I$13,6,FALSE),0)</f>
        <v>8</v>
      </c>
      <c r="M124" s="11">
        <f t="shared" si="21"/>
        <v>-0.5</v>
      </c>
      <c r="N124" s="12">
        <f>IFERROR(VLOOKUP(D124,Mitarbeiter!$C$6:$I$13,7,FALSE),0)</f>
        <v>24.5</v>
      </c>
      <c r="O124" s="12">
        <f t="shared" si="22"/>
        <v>183.75</v>
      </c>
      <c r="P124" s="3"/>
      <c r="Q124" s="3" t="s">
        <v>38</v>
      </c>
      <c r="R124" s="10" t="str">
        <f t="shared" si="23"/>
        <v>OK</v>
      </c>
      <c r="S124" s="19"/>
    </row>
    <row r="125" spans="1:19" ht="18" customHeight="1" x14ac:dyDescent="0.25">
      <c r="A125" s="16">
        <v>46106</v>
      </c>
      <c r="B125" s="10" t="str">
        <f t="shared" si="18"/>
        <v>miércoles</v>
      </c>
      <c r="C125" s="14" t="e">
        <f t="shared" ca="1" si="19"/>
        <v>#NAME?</v>
      </c>
      <c r="D125" s="3" t="s">
        <v>85</v>
      </c>
      <c r="E125" s="10" t="str">
        <f>IFERROR(VLOOKUP(D125,Mitarbeiter!$C$6:$I$13,2,FALSE),"")</f>
        <v>Mitarbeiter</v>
      </c>
      <c r="F125" s="10" t="str">
        <f>IFERROR(VLOOKUP(D125,Mitarbeiter!$C$6:$I$13,3,FALSE),"")</f>
        <v>Verkauf</v>
      </c>
      <c r="G125" s="3" t="s">
        <v>3</v>
      </c>
      <c r="H125" s="17">
        <v>0.25</v>
      </c>
      <c r="I125" s="17">
        <v>0.66666666666666663</v>
      </c>
      <c r="J125" s="18">
        <v>30</v>
      </c>
      <c r="K125" s="11">
        <f t="shared" si="20"/>
        <v>9.5</v>
      </c>
      <c r="L125" s="11">
        <f>IFERROR(VLOOKUP(D125,Mitarbeiter!$C$6:$I$13,6,FALSE),0)</f>
        <v>8</v>
      </c>
      <c r="M125" s="11">
        <f t="shared" si="21"/>
        <v>1.5</v>
      </c>
      <c r="N125" s="12">
        <f>IFERROR(VLOOKUP(D125,Mitarbeiter!$C$6:$I$13,7,FALSE),0)</f>
        <v>18.5</v>
      </c>
      <c r="O125" s="12">
        <f t="shared" si="22"/>
        <v>175.75</v>
      </c>
      <c r="P125" s="3"/>
      <c r="Q125" s="3" t="s">
        <v>38</v>
      </c>
      <c r="R125" s="10" t="str">
        <f t="shared" si="23"/>
        <v>OK</v>
      </c>
      <c r="S125" s="19"/>
    </row>
    <row r="126" spans="1:19" ht="18" customHeight="1" x14ac:dyDescent="0.25">
      <c r="A126" s="16">
        <v>46106</v>
      </c>
      <c r="B126" s="10" t="str">
        <f t="shared" si="18"/>
        <v>miércoles</v>
      </c>
      <c r="C126" s="14" t="e">
        <f t="shared" ca="1" si="19"/>
        <v>#NAME?</v>
      </c>
      <c r="D126" s="3" t="s">
        <v>94</v>
      </c>
      <c r="E126" s="10" t="str">
        <f>IFERROR(VLOOKUP(D126,Mitarbeiter!$C$6:$I$13,2,FALSE),"")</f>
        <v>Mitarbeiter</v>
      </c>
      <c r="F126" s="10" t="str">
        <f>IFERROR(VLOOKUP(D126,Mitarbeiter!$C$6:$I$13,3,FALSE),"")</f>
        <v>Lager</v>
      </c>
      <c r="G126" s="3" t="s">
        <v>4</v>
      </c>
      <c r="H126" s="17">
        <v>0.58333333333333337</v>
      </c>
      <c r="I126" s="17">
        <v>0.91666666666666663</v>
      </c>
      <c r="J126" s="18">
        <v>30</v>
      </c>
      <c r="K126" s="11">
        <f t="shared" si="20"/>
        <v>7.5</v>
      </c>
      <c r="L126" s="11">
        <f>IFERROR(VLOOKUP(D126,Mitarbeiter!$C$6:$I$13,6,FALSE),0)</f>
        <v>8</v>
      </c>
      <c r="M126" s="11">
        <f t="shared" si="21"/>
        <v>-0.5</v>
      </c>
      <c r="N126" s="12">
        <f>IFERROR(VLOOKUP(D126,Mitarbeiter!$C$6:$I$13,7,FALSE),0)</f>
        <v>19.2</v>
      </c>
      <c r="O126" s="12">
        <f t="shared" si="22"/>
        <v>144</v>
      </c>
      <c r="P126" s="3"/>
      <c r="Q126" s="3" t="s">
        <v>38</v>
      </c>
      <c r="R126" s="10" t="str">
        <f t="shared" si="23"/>
        <v>OK</v>
      </c>
      <c r="S126" s="19"/>
    </row>
    <row r="127" spans="1:19" ht="18" customHeight="1" x14ac:dyDescent="0.25">
      <c r="A127" s="16">
        <v>46106</v>
      </c>
      <c r="B127" s="10" t="str">
        <f t="shared" si="18"/>
        <v>miércoles</v>
      </c>
      <c r="C127" s="14" t="e">
        <f t="shared" ca="1" si="19"/>
        <v>#NAME?</v>
      </c>
      <c r="D127" s="3" t="s">
        <v>98</v>
      </c>
      <c r="E127" s="10" t="str">
        <f>IFERROR(VLOOKUP(D127,Mitarbeiter!$C$6:$I$13,2,FALSE),"")</f>
        <v>Verwaltung</v>
      </c>
      <c r="F127" s="10" t="str">
        <f>IFERROR(VLOOKUP(D127,Mitarbeiter!$C$6:$I$13,3,FALSE),"")</f>
        <v>Büro</v>
      </c>
      <c r="G127" s="3" t="s">
        <v>6</v>
      </c>
      <c r="H127" s="17">
        <v>0.375</v>
      </c>
      <c r="I127" s="17">
        <v>0.70833333333333337</v>
      </c>
      <c r="J127" s="18">
        <v>60</v>
      </c>
      <c r="K127" s="11">
        <f t="shared" si="20"/>
        <v>7</v>
      </c>
      <c r="L127" s="11">
        <f>IFERROR(VLOOKUP(D127,Mitarbeiter!$C$6:$I$13,6,FALSE),0)</f>
        <v>7.6</v>
      </c>
      <c r="M127" s="11">
        <f t="shared" si="21"/>
        <v>-0.59999999999999964</v>
      </c>
      <c r="N127" s="12">
        <f>IFERROR(VLOOKUP(D127,Mitarbeiter!$C$6:$I$13,7,FALSE),0)</f>
        <v>22</v>
      </c>
      <c r="O127" s="12">
        <f t="shared" si="22"/>
        <v>154</v>
      </c>
      <c r="P127" s="3"/>
      <c r="Q127" s="3" t="s">
        <v>38</v>
      </c>
      <c r="R127" s="10" t="str">
        <f t="shared" si="23"/>
        <v>OK</v>
      </c>
      <c r="S127" s="19"/>
    </row>
    <row r="128" spans="1:19" ht="18" customHeight="1" x14ac:dyDescent="0.25">
      <c r="A128" s="16">
        <v>46106</v>
      </c>
      <c r="B128" s="10" t="str">
        <f t="shared" si="18"/>
        <v>miércoles</v>
      </c>
      <c r="C128" s="14" t="e">
        <f t="shared" ca="1" si="19"/>
        <v>#NAME?</v>
      </c>
      <c r="D128" s="3" t="s">
        <v>112</v>
      </c>
      <c r="E128" s="10" t="str">
        <f>IFERROR(VLOOKUP(D128,Mitarbeiter!$C$6:$I$13,2,FALSE),"")</f>
        <v>Mitarbeiter</v>
      </c>
      <c r="F128" s="10" t="str">
        <f>IFERROR(VLOOKUP(D128,Mitarbeiter!$C$6:$I$13,3,FALSE),"")</f>
        <v>Produktion</v>
      </c>
      <c r="G128" s="3" t="s">
        <v>3</v>
      </c>
      <c r="H128" s="17">
        <v>0.25</v>
      </c>
      <c r="I128" s="17">
        <v>0.58333333333333337</v>
      </c>
      <c r="J128" s="18">
        <v>30</v>
      </c>
      <c r="K128" s="11">
        <f t="shared" si="20"/>
        <v>7.5</v>
      </c>
      <c r="L128" s="11">
        <f>IFERROR(VLOOKUP(D128,Mitarbeiter!$C$6:$I$13,6,FALSE),0)</f>
        <v>8</v>
      </c>
      <c r="M128" s="11">
        <f t="shared" si="21"/>
        <v>-0.5</v>
      </c>
      <c r="N128" s="12">
        <f>IFERROR(VLOOKUP(D128,Mitarbeiter!$C$6:$I$13,7,FALSE),0)</f>
        <v>19.8</v>
      </c>
      <c r="O128" s="12">
        <f t="shared" si="22"/>
        <v>148.5</v>
      </c>
      <c r="P128" s="3"/>
      <c r="Q128" s="3" t="s">
        <v>38</v>
      </c>
      <c r="R128" s="10" t="str">
        <f t="shared" si="23"/>
        <v>OK</v>
      </c>
      <c r="S128" s="19"/>
    </row>
    <row r="129" spans="1:19" ht="18" customHeight="1" x14ac:dyDescent="0.25">
      <c r="A129" s="16">
        <v>46106</v>
      </c>
      <c r="B129" s="10" t="str">
        <f t="shared" si="18"/>
        <v>miércoles</v>
      </c>
      <c r="C129" s="14" t="e">
        <f t="shared" ca="1" si="19"/>
        <v>#NAME?</v>
      </c>
      <c r="D129" s="3" t="s">
        <v>108</v>
      </c>
      <c r="E129" s="10" t="str">
        <f>IFERROR(VLOOKUP(D129,Mitarbeiter!$C$6:$I$13,2,FALSE),"")</f>
        <v>Mitarbeiter</v>
      </c>
      <c r="F129" s="10" t="str">
        <f>IFERROR(VLOOKUP(D129,Mitarbeiter!$C$6:$I$13,3,FALSE),"")</f>
        <v>Pflege</v>
      </c>
      <c r="G129" s="3" t="s">
        <v>3</v>
      </c>
      <c r="H129" s="17">
        <v>0.29166666666666669</v>
      </c>
      <c r="I129" s="17">
        <v>0.54166666666666663</v>
      </c>
      <c r="J129" s="18">
        <v>30</v>
      </c>
      <c r="K129" s="11">
        <f t="shared" si="20"/>
        <v>5.5</v>
      </c>
      <c r="L129" s="11">
        <f>IFERROR(VLOOKUP(D129,Mitarbeiter!$C$6:$I$13,6,FALSE),0)</f>
        <v>6</v>
      </c>
      <c r="M129" s="11">
        <f t="shared" si="21"/>
        <v>-0.5</v>
      </c>
      <c r="N129" s="12">
        <f>IFERROR(VLOOKUP(D129,Mitarbeiter!$C$6:$I$13,7,FALSE),0)</f>
        <v>20.5</v>
      </c>
      <c r="O129" s="12">
        <f t="shared" si="22"/>
        <v>112.75</v>
      </c>
      <c r="P129" s="3"/>
      <c r="Q129" s="3" t="s">
        <v>38</v>
      </c>
      <c r="R129" s="10" t="str">
        <f t="shared" si="23"/>
        <v>OK</v>
      </c>
      <c r="S129" s="19"/>
    </row>
    <row r="130" spans="1:19" ht="18" customHeight="1" x14ac:dyDescent="0.25">
      <c r="A130" s="16">
        <v>46107</v>
      </c>
      <c r="B130" s="10" t="str">
        <f t="shared" si="18"/>
        <v>jueves</v>
      </c>
      <c r="C130" s="14" t="e">
        <f t="shared" ca="1" si="19"/>
        <v>#NAME?</v>
      </c>
      <c r="D130" s="3" t="s">
        <v>80</v>
      </c>
      <c r="E130" s="10" t="str">
        <f>IFERROR(VLOOKUP(D130,Mitarbeiter!$C$6:$I$13,2,FALSE),"")</f>
        <v>Teamleitung</v>
      </c>
      <c r="F130" s="10" t="str">
        <f>IFERROR(VLOOKUP(D130,Mitarbeiter!$C$6:$I$13,3,FALSE),"")</f>
        <v>Verkauf</v>
      </c>
      <c r="G130" s="3" t="s">
        <v>3</v>
      </c>
      <c r="H130" s="17">
        <v>0.25</v>
      </c>
      <c r="I130" s="17">
        <v>0.58333333333333337</v>
      </c>
      <c r="J130" s="18">
        <v>30</v>
      </c>
      <c r="K130" s="11">
        <f t="shared" si="20"/>
        <v>7.5</v>
      </c>
      <c r="L130" s="11">
        <f>IFERROR(VLOOKUP(D130,Mitarbeiter!$C$6:$I$13,6,FALSE),0)</f>
        <v>8</v>
      </c>
      <c r="M130" s="11">
        <f t="shared" si="21"/>
        <v>-0.5</v>
      </c>
      <c r="N130" s="12">
        <f>IFERROR(VLOOKUP(D130,Mitarbeiter!$C$6:$I$13,7,FALSE),0)</f>
        <v>24.5</v>
      </c>
      <c r="O130" s="12">
        <f t="shared" si="22"/>
        <v>183.75</v>
      </c>
      <c r="P130" s="3"/>
      <c r="Q130" s="3" t="s">
        <v>38</v>
      </c>
      <c r="R130" s="10" t="str">
        <f t="shared" si="23"/>
        <v>OK</v>
      </c>
      <c r="S130" s="19"/>
    </row>
    <row r="131" spans="1:19" ht="18" customHeight="1" x14ac:dyDescent="0.25">
      <c r="A131" s="16">
        <v>46107</v>
      </c>
      <c r="B131" s="10" t="str">
        <f t="shared" si="18"/>
        <v>jueves</v>
      </c>
      <c r="C131" s="14" t="e">
        <f t="shared" ca="1" si="19"/>
        <v>#NAME?</v>
      </c>
      <c r="D131" s="3" t="s">
        <v>85</v>
      </c>
      <c r="E131" s="10" t="str">
        <f>IFERROR(VLOOKUP(D131,Mitarbeiter!$C$6:$I$13,2,FALSE),"")</f>
        <v>Mitarbeiter</v>
      </c>
      <c r="F131" s="10" t="str">
        <f>IFERROR(VLOOKUP(D131,Mitarbeiter!$C$6:$I$13,3,FALSE),"")</f>
        <v>Verkauf</v>
      </c>
      <c r="G131" s="3" t="s">
        <v>3</v>
      </c>
      <c r="H131" s="17">
        <v>0.25</v>
      </c>
      <c r="I131" s="17">
        <v>0.58333333333333337</v>
      </c>
      <c r="J131" s="18">
        <v>30</v>
      </c>
      <c r="K131" s="11">
        <f t="shared" si="20"/>
        <v>7.5</v>
      </c>
      <c r="L131" s="11">
        <f>IFERROR(VLOOKUP(D131,Mitarbeiter!$C$6:$I$13,6,FALSE),0)</f>
        <v>8</v>
      </c>
      <c r="M131" s="11">
        <f t="shared" si="21"/>
        <v>-0.5</v>
      </c>
      <c r="N131" s="12">
        <f>IFERROR(VLOOKUP(D131,Mitarbeiter!$C$6:$I$13,7,FALSE),0)</f>
        <v>18.5</v>
      </c>
      <c r="O131" s="12">
        <f t="shared" si="22"/>
        <v>138.75</v>
      </c>
      <c r="P131" s="3"/>
      <c r="Q131" s="3" t="s">
        <v>38</v>
      </c>
      <c r="R131" s="10" t="str">
        <f t="shared" si="23"/>
        <v>OK</v>
      </c>
      <c r="S131" s="19"/>
    </row>
    <row r="132" spans="1:19" ht="18" customHeight="1" x14ac:dyDescent="0.25">
      <c r="A132" s="16">
        <v>46107</v>
      </c>
      <c r="B132" s="10" t="str">
        <f t="shared" si="18"/>
        <v>jueves</v>
      </c>
      <c r="C132" s="14" t="e">
        <f t="shared" ca="1" si="19"/>
        <v>#NAME?</v>
      </c>
      <c r="D132" s="3" t="s">
        <v>94</v>
      </c>
      <c r="E132" s="10" t="str">
        <f>IFERROR(VLOOKUP(D132,Mitarbeiter!$C$6:$I$13,2,FALSE),"")</f>
        <v>Mitarbeiter</v>
      </c>
      <c r="F132" s="10" t="str">
        <f>IFERROR(VLOOKUP(D132,Mitarbeiter!$C$6:$I$13,3,FALSE),"")</f>
        <v>Lager</v>
      </c>
      <c r="G132" s="3" t="s">
        <v>4</v>
      </c>
      <c r="H132" s="17">
        <v>0.58333333333333337</v>
      </c>
      <c r="I132" s="17">
        <v>0.91666666666666663</v>
      </c>
      <c r="J132" s="18">
        <v>30</v>
      </c>
      <c r="K132" s="11">
        <f t="shared" si="20"/>
        <v>7.5</v>
      </c>
      <c r="L132" s="11">
        <f>IFERROR(VLOOKUP(D132,Mitarbeiter!$C$6:$I$13,6,FALSE),0)</f>
        <v>8</v>
      </c>
      <c r="M132" s="11">
        <f t="shared" si="21"/>
        <v>-0.5</v>
      </c>
      <c r="N132" s="12">
        <f>IFERROR(VLOOKUP(D132,Mitarbeiter!$C$6:$I$13,7,FALSE),0)</f>
        <v>19.2</v>
      </c>
      <c r="O132" s="12">
        <f t="shared" si="22"/>
        <v>144</v>
      </c>
      <c r="P132" s="3"/>
      <c r="Q132" s="3" t="s">
        <v>38</v>
      </c>
      <c r="R132" s="10" t="str">
        <f t="shared" si="23"/>
        <v>OK</v>
      </c>
      <c r="S132" s="19"/>
    </row>
    <row r="133" spans="1:19" ht="18" customHeight="1" x14ac:dyDescent="0.25">
      <c r="A133" s="16">
        <v>46107</v>
      </c>
      <c r="B133" s="10" t="str">
        <f t="shared" si="18"/>
        <v>jueves</v>
      </c>
      <c r="C133" s="14" t="e">
        <f t="shared" ca="1" si="19"/>
        <v>#NAME?</v>
      </c>
      <c r="D133" s="3" t="s">
        <v>98</v>
      </c>
      <c r="E133" s="10" t="str">
        <f>IFERROR(VLOOKUP(D133,Mitarbeiter!$C$6:$I$13,2,FALSE),"")</f>
        <v>Verwaltung</v>
      </c>
      <c r="F133" s="10" t="str">
        <f>IFERROR(VLOOKUP(D133,Mitarbeiter!$C$6:$I$13,3,FALSE),"")</f>
        <v>Büro</v>
      </c>
      <c r="G133" s="3" t="s">
        <v>6</v>
      </c>
      <c r="H133" s="17">
        <v>0.375</v>
      </c>
      <c r="I133" s="17">
        <v>0.70833333333333337</v>
      </c>
      <c r="J133" s="18">
        <v>60</v>
      </c>
      <c r="K133" s="11">
        <f t="shared" si="20"/>
        <v>7</v>
      </c>
      <c r="L133" s="11">
        <f>IFERROR(VLOOKUP(D133,Mitarbeiter!$C$6:$I$13,6,FALSE),0)</f>
        <v>7.6</v>
      </c>
      <c r="M133" s="11">
        <f t="shared" si="21"/>
        <v>-0.59999999999999964</v>
      </c>
      <c r="N133" s="12">
        <f>IFERROR(VLOOKUP(D133,Mitarbeiter!$C$6:$I$13,7,FALSE),0)</f>
        <v>22</v>
      </c>
      <c r="O133" s="12">
        <f t="shared" si="22"/>
        <v>154</v>
      </c>
      <c r="P133" s="3"/>
      <c r="Q133" s="3" t="s">
        <v>38</v>
      </c>
      <c r="R133" s="10" t="str">
        <f t="shared" si="23"/>
        <v>OK</v>
      </c>
      <c r="S133" s="19"/>
    </row>
    <row r="134" spans="1:19" ht="18" customHeight="1" x14ac:dyDescent="0.25">
      <c r="A134" s="16">
        <v>46107</v>
      </c>
      <c r="B134" s="10" t="str">
        <f t="shared" ref="B134:B165" si="24">TEXT(A134,"dddd")</f>
        <v>jueves</v>
      </c>
      <c r="C134" s="14" t="e">
        <f t="shared" ref="C134:C157" ca="1" si="25">_xludf.ISOWEEKNUM(A134)</f>
        <v>#NAME?</v>
      </c>
      <c r="D134" s="3" t="s">
        <v>112</v>
      </c>
      <c r="E134" s="10" t="str">
        <f>IFERROR(VLOOKUP(D134,Mitarbeiter!$C$6:$I$13,2,FALSE),"")</f>
        <v>Mitarbeiter</v>
      </c>
      <c r="F134" s="10" t="str">
        <f>IFERROR(VLOOKUP(D134,Mitarbeiter!$C$6:$I$13,3,FALSE),"")</f>
        <v>Produktion</v>
      </c>
      <c r="G134" s="3" t="s">
        <v>3</v>
      </c>
      <c r="H134" s="17">
        <v>0.25</v>
      </c>
      <c r="I134" s="17">
        <v>0.58333333333333337</v>
      </c>
      <c r="J134" s="18">
        <v>30</v>
      </c>
      <c r="K134" s="11">
        <f t="shared" ref="K134:K165" si="26">IF(OR(P134="Urlaub",P134="Krankheit",P134="Frei",P134="Feiertag"),0,IF(OR(H134="",I134=""),0,ROUND((MOD(I134-H134,1)*24)-(J134/60),2)))</f>
        <v>7.5</v>
      </c>
      <c r="L134" s="11">
        <f>IFERROR(VLOOKUP(D134,Mitarbeiter!$C$6:$I$13,6,FALSE),0)</f>
        <v>8</v>
      </c>
      <c r="M134" s="11">
        <f t="shared" ref="M134:M165" si="27">K134-L134</f>
        <v>-0.5</v>
      </c>
      <c r="N134" s="12">
        <f>IFERROR(VLOOKUP(D134,Mitarbeiter!$C$6:$I$13,7,FALSE),0)</f>
        <v>19.8</v>
      </c>
      <c r="O134" s="12">
        <f t="shared" ref="O134:O165" si="28">K134*N134</f>
        <v>148.5</v>
      </c>
      <c r="P134" s="3"/>
      <c r="Q134" s="3" t="s">
        <v>38</v>
      </c>
      <c r="R134" s="10" t="str">
        <f t="shared" ref="R134:R157" si="29">IF(P134&lt;&gt;"","Ruhetag / Abwesenheit",IF(M134&gt;2,"Überstunden",IF(M134&lt;-2,"Unter Soll","OK")))</f>
        <v>OK</v>
      </c>
      <c r="S134" s="19"/>
    </row>
    <row r="135" spans="1:19" ht="18" customHeight="1" x14ac:dyDescent="0.25">
      <c r="A135" s="16">
        <v>46107</v>
      </c>
      <c r="B135" s="10" t="str">
        <f t="shared" si="24"/>
        <v>jueves</v>
      </c>
      <c r="C135" s="14" t="e">
        <f t="shared" ca="1" si="25"/>
        <v>#NAME?</v>
      </c>
      <c r="D135" s="3" t="s">
        <v>89</v>
      </c>
      <c r="E135" s="10" t="str">
        <f>IFERROR(VLOOKUP(D135,Mitarbeiter!$C$6:$I$13,2,FALSE),"")</f>
        <v>Mitarbeiter</v>
      </c>
      <c r="F135" s="10" t="str">
        <f>IFERROR(VLOOKUP(D135,Mitarbeiter!$C$6:$I$13,3,FALSE),"")</f>
        <v>Service</v>
      </c>
      <c r="G135" s="3" t="s">
        <v>7</v>
      </c>
      <c r="H135" s="17">
        <v>0.375</v>
      </c>
      <c r="I135" s="17">
        <v>0.58333333333333337</v>
      </c>
      <c r="J135" s="18">
        <v>0</v>
      </c>
      <c r="K135" s="11">
        <f t="shared" si="26"/>
        <v>5</v>
      </c>
      <c r="L135" s="11">
        <f>IFERROR(VLOOKUP(D135,Mitarbeiter!$C$6:$I$13,6,FALSE),0)</f>
        <v>5</v>
      </c>
      <c r="M135" s="11">
        <f t="shared" si="27"/>
        <v>0</v>
      </c>
      <c r="N135" s="12">
        <f>IFERROR(VLOOKUP(D135,Mitarbeiter!$C$6:$I$13,7,FALSE),0)</f>
        <v>17.8</v>
      </c>
      <c r="O135" s="12">
        <f t="shared" si="28"/>
        <v>89</v>
      </c>
      <c r="P135" s="3"/>
      <c r="Q135" s="3" t="s">
        <v>38</v>
      </c>
      <c r="R135" s="10" t="str">
        <f t="shared" si="29"/>
        <v>OK</v>
      </c>
      <c r="S135" s="19"/>
    </row>
    <row r="136" spans="1:19" ht="18" customHeight="1" x14ac:dyDescent="0.25">
      <c r="A136" s="16">
        <v>46107</v>
      </c>
      <c r="B136" s="10" t="str">
        <f t="shared" si="24"/>
        <v>jueves</v>
      </c>
      <c r="C136" s="14" t="e">
        <f t="shared" ca="1" si="25"/>
        <v>#NAME?</v>
      </c>
      <c r="D136" s="3" t="s">
        <v>103</v>
      </c>
      <c r="E136" s="10" t="str">
        <f>IFERROR(VLOOKUP(D136,Mitarbeiter!$C$6:$I$13,2,FALSE),"")</f>
        <v>Aushilfe</v>
      </c>
      <c r="F136" s="10" t="str">
        <f>IFERROR(VLOOKUP(D136,Mitarbeiter!$C$6:$I$13,3,FALSE),"")</f>
        <v>Service</v>
      </c>
      <c r="G136" s="3" t="s">
        <v>7</v>
      </c>
      <c r="H136" s="17">
        <v>0.375</v>
      </c>
      <c r="I136" s="17">
        <v>0.54166666666666663</v>
      </c>
      <c r="J136" s="18">
        <v>0</v>
      </c>
      <c r="K136" s="11">
        <f t="shared" si="26"/>
        <v>4</v>
      </c>
      <c r="L136" s="11">
        <f>IFERROR(VLOOKUP(D136,Mitarbeiter!$C$6:$I$13,6,FALSE),0)</f>
        <v>4</v>
      </c>
      <c r="M136" s="11">
        <f t="shared" si="27"/>
        <v>0</v>
      </c>
      <c r="N136" s="12">
        <f>IFERROR(VLOOKUP(D136,Mitarbeiter!$C$6:$I$13,7,FALSE),0)</f>
        <v>15</v>
      </c>
      <c r="O136" s="12">
        <f t="shared" si="28"/>
        <v>60</v>
      </c>
      <c r="P136" s="3"/>
      <c r="Q136" s="3" t="s">
        <v>38</v>
      </c>
      <c r="R136" s="10" t="str">
        <f t="shared" si="29"/>
        <v>OK</v>
      </c>
      <c r="S136" s="19"/>
    </row>
    <row r="137" spans="1:19" ht="18" customHeight="1" x14ac:dyDescent="0.25">
      <c r="A137" s="16">
        <v>46108</v>
      </c>
      <c r="B137" s="10" t="str">
        <f t="shared" si="24"/>
        <v>viernes</v>
      </c>
      <c r="C137" s="14" t="e">
        <f t="shared" ca="1" si="25"/>
        <v>#NAME?</v>
      </c>
      <c r="D137" s="3" t="s">
        <v>80</v>
      </c>
      <c r="E137" s="10" t="str">
        <f>IFERROR(VLOOKUP(D137,Mitarbeiter!$C$6:$I$13,2,FALSE),"")</f>
        <v>Teamleitung</v>
      </c>
      <c r="F137" s="10" t="str">
        <f>IFERROR(VLOOKUP(D137,Mitarbeiter!$C$6:$I$13,3,FALSE),"")</f>
        <v>Verkauf</v>
      </c>
      <c r="G137" s="3" t="s">
        <v>3</v>
      </c>
      <c r="H137" s="17">
        <v>0.25</v>
      </c>
      <c r="I137" s="17">
        <v>0.58333333333333337</v>
      </c>
      <c r="J137" s="18">
        <v>30</v>
      </c>
      <c r="K137" s="11">
        <f t="shared" si="26"/>
        <v>7.5</v>
      </c>
      <c r="L137" s="11">
        <f>IFERROR(VLOOKUP(D137,Mitarbeiter!$C$6:$I$13,6,FALSE),0)</f>
        <v>8</v>
      </c>
      <c r="M137" s="11">
        <f t="shared" si="27"/>
        <v>-0.5</v>
      </c>
      <c r="N137" s="12">
        <f>IFERROR(VLOOKUP(D137,Mitarbeiter!$C$6:$I$13,7,FALSE),0)</f>
        <v>24.5</v>
      </c>
      <c r="O137" s="12">
        <f t="shared" si="28"/>
        <v>183.75</v>
      </c>
      <c r="P137" s="3"/>
      <c r="Q137" s="3" t="s">
        <v>38</v>
      </c>
      <c r="R137" s="10" t="str">
        <f t="shared" si="29"/>
        <v>OK</v>
      </c>
      <c r="S137" s="19"/>
    </row>
    <row r="138" spans="1:19" ht="18" customHeight="1" x14ac:dyDescent="0.25">
      <c r="A138" s="16">
        <v>46108</v>
      </c>
      <c r="B138" s="10" t="str">
        <f t="shared" si="24"/>
        <v>viernes</v>
      </c>
      <c r="C138" s="14" t="e">
        <f t="shared" ca="1" si="25"/>
        <v>#NAME?</v>
      </c>
      <c r="D138" s="3" t="s">
        <v>85</v>
      </c>
      <c r="E138" s="10" t="str">
        <f>IFERROR(VLOOKUP(D138,Mitarbeiter!$C$6:$I$13,2,FALSE),"")</f>
        <v>Mitarbeiter</v>
      </c>
      <c r="F138" s="10" t="str">
        <f>IFERROR(VLOOKUP(D138,Mitarbeiter!$C$6:$I$13,3,FALSE),"")</f>
        <v>Verkauf</v>
      </c>
      <c r="G138" s="3" t="s">
        <v>3</v>
      </c>
      <c r="H138" s="17">
        <v>0.25</v>
      </c>
      <c r="I138" s="17">
        <v>0.58333333333333337</v>
      </c>
      <c r="J138" s="18">
        <v>30</v>
      </c>
      <c r="K138" s="11">
        <f t="shared" si="26"/>
        <v>7.5</v>
      </c>
      <c r="L138" s="11">
        <f>IFERROR(VLOOKUP(D138,Mitarbeiter!$C$6:$I$13,6,FALSE),0)</f>
        <v>8</v>
      </c>
      <c r="M138" s="11">
        <f t="shared" si="27"/>
        <v>-0.5</v>
      </c>
      <c r="N138" s="12">
        <f>IFERROR(VLOOKUP(D138,Mitarbeiter!$C$6:$I$13,7,FALSE),0)</f>
        <v>18.5</v>
      </c>
      <c r="O138" s="12">
        <f t="shared" si="28"/>
        <v>138.75</v>
      </c>
      <c r="P138" s="3"/>
      <c r="Q138" s="3" t="s">
        <v>38</v>
      </c>
      <c r="R138" s="10" t="str">
        <f t="shared" si="29"/>
        <v>OK</v>
      </c>
      <c r="S138" s="19"/>
    </row>
    <row r="139" spans="1:19" ht="18" customHeight="1" x14ac:dyDescent="0.25">
      <c r="A139" s="16">
        <v>46108</v>
      </c>
      <c r="B139" s="10" t="str">
        <f t="shared" si="24"/>
        <v>viernes</v>
      </c>
      <c r="C139" s="14" t="e">
        <f t="shared" ca="1" si="25"/>
        <v>#NAME?</v>
      </c>
      <c r="D139" s="3" t="s">
        <v>94</v>
      </c>
      <c r="E139" s="10" t="str">
        <f>IFERROR(VLOOKUP(D139,Mitarbeiter!$C$6:$I$13,2,FALSE),"")</f>
        <v>Mitarbeiter</v>
      </c>
      <c r="F139" s="10" t="str">
        <f>IFERROR(VLOOKUP(D139,Mitarbeiter!$C$6:$I$13,3,FALSE),"")</f>
        <v>Lager</v>
      </c>
      <c r="G139" s="3" t="s">
        <v>4</v>
      </c>
      <c r="H139" s="17">
        <v>0.58333333333333337</v>
      </c>
      <c r="I139" s="17">
        <v>0.91666666666666663</v>
      </c>
      <c r="J139" s="18">
        <v>30</v>
      </c>
      <c r="K139" s="11">
        <f t="shared" si="26"/>
        <v>7.5</v>
      </c>
      <c r="L139" s="11">
        <f>IFERROR(VLOOKUP(D139,Mitarbeiter!$C$6:$I$13,6,FALSE),0)</f>
        <v>8</v>
      </c>
      <c r="M139" s="11">
        <f t="shared" si="27"/>
        <v>-0.5</v>
      </c>
      <c r="N139" s="12">
        <f>IFERROR(VLOOKUP(D139,Mitarbeiter!$C$6:$I$13,7,FALSE),0)</f>
        <v>19.2</v>
      </c>
      <c r="O139" s="12">
        <f t="shared" si="28"/>
        <v>144</v>
      </c>
      <c r="P139" s="3"/>
      <c r="Q139" s="3" t="s">
        <v>38</v>
      </c>
      <c r="R139" s="10" t="str">
        <f t="shared" si="29"/>
        <v>OK</v>
      </c>
      <c r="S139" s="19"/>
    </row>
    <row r="140" spans="1:19" ht="18" customHeight="1" x14ac:dyDescent="0.25">
      <c r="A140" s="16">
        <v>46108</v>
      </c>
      <c r="B140" s="10" t="str">
        <f t="shared" si="24"/>
        <v>viernes</v>
      </c>
      <c r="C140" s="14" t="e">
        <f t="shared" ca="1" si="25"/>
        <v>#NAME?</v>
      </c>
      <c r="D140" s="3" t="s">
        <v>98</v>
      </c>
      <c r="E140" s="10" t="str">
        <f>IFERROR(VLOOKUP(D140,Mitarbeiter!$C$6:$I$13,2,FALSE),"")</f>
        <v>Verwaltung</v>
      </c>
      <c r="F140" s="10" t="str">
        <f>IFERROR(VLOOKUP(D140,Mitarbeiter!$C$6:$I$13,3,FALSE),"")</f>
        <v>Büro</v>
      </c>
      <c r="G140" s="3" t="s">
        <v>6</v>
      </c>
      <c r="H140" s="17">
        <v>0.375</v>
      </c>
      <c r="I140" s="17">
        <v>0.70833333333333337</v>
      </c>
      <c r="J140" s="18">
        <v>60</v>
      </c>
      <c r="K140" s="11">
        <f t="shared" si="26"/>
        <v>7</v>
      </c>
      <c r="L140" s="11">
        <f>IFERROR(VLOOKUP(D140,Mitarbeiter!$C$6:$I$13,6,FALSE),0)</f>
        <v>7.6</v>
      </c>
      <c r="M140" s="11">
        <f t="shared" si="27"/>
        <v>-0.59999999999999964</v>
      </c>
      <c r="N140" s="12">
        <f>IFERROR(VLOOKUP(D140,Mitarbeiter!$C$6:$I$13,7,FALSE),0)</f>
        <v>22</v>
      </c>
      <c r="O140" s="12">
        <f t="shared" si="28"/>
        <v>154</v>
      </c>
      <c r="P140" s="3"/>
      <c r="Q140" s="3" t="s">
        <v>38</v>
      </c>
      <c r="R140" s="10" t="str">
        <f t="shared" si="29"/>
        <v>OK</v>
      </c>
      <c r="S140" s="19"/>
    </row>
    <row r="141" spans="1:19" ht="18" customHeight="1" x14ac:dyDescent="0.25">
      <c r="A141" s="16">
        <v>46108</v>
      </c>
      <c r="B141" s="10" t="str">
        <f t="shared" si="24"/>
        <v>viernes</v>
      </c>
      <c r="C141" s="14" t="e">
        <f t="shared" ca="1" si="25"/>
        <v>#NAME?</v>
      </c>
      <c r="D141" s="3" t="s">
        <v>112</v>
      </c>
      <c r="E141" s="10" t="str">
        <f>IFERROR(VLOOKUP(D141,Mitarbeiter!$C$6:$I$13,2,FALSE),"")</f>
        <v>Mitarbeiter</v>
      </c>
      <c r="F141" s="10" t="str">
        <f>IFERROR(VLOOKUP(D141,Mitarbeiter!$C$6:$I$13,3,FALSE),"")</f>
        <v>Produktion</v>
      </c>
      <c r="G141" s="3" t="s">
        <v>3</v>
      </c>
      <c r="H141" s="17">
        <v>0.25</v>
      </c>
      <c r="I141" s="17">
        <v>0.58333333333333337</v>
      </c>
      <c r="J141" s="18">
        <v>30</v>
      </c>
      <c r="K141" s="11">
        <f t="shared" si="26"/>
        <v>7.5</v>
      </c>
      <c r="L141" s="11">
        <f>IFERROR(VLOOKUP(D141,Mitarbeiter!$C$6:$I$13,6,FALSE),0)</f>
        <v>8</v>
      </c>
      <c r="M141" s="11">
        <f t="shared" si="27"/>
        <v>-0.5</v>
      </c>
      <c r="N141" s="12">
        <f>IFERROR(VLOOKUP(D141,Mitarbeiter!$C$6:$I$13,7,FALSE),0)</f>
        <v>19.8</v>
      </c>
      <c r="O141" s="12">
        <f t="shared" si="28"/>
        <v>148.5</v>
      </c>
      <c r="P141" s="3"/>
      <c r="Q141" s="3" t="s">
        <v>38</v>
      </c>
      <c r="R141" s="10" t="str">
        <f t="shared" si="29"/>
        <v>OK</v>
      </c>
      <c r="S141" s="19"/>
    </row>
    <row r="142" spans="1:19" ht="18" customHeight="1" x14ac:dyDescent="0.25">
      <c r="A142" s="16">
        <v>46109</v>
      </c>
      <c r="B142" s="10" t="str">
        <f t="shared" si="24"/>
        <v>sábado</v>
      </c>
      <c r="C142" s="14" t="e">
        <f t="shared" ca="1" si="25"/>
        <v>#NAME?</v>
      </c>
      <c r="D142" s="3" t="s">
        <v>103</v>
      </c>
      <c r="E142" s="10" t="str">
        <f>IFERROR(VLOOKUP(D142,Mitarbeiter!$C$6:$I$13,2,FALSE),"")</f>
        <v>Aushilfe</v>
      </c>
      <c r="F142" s="10" t="str">
        <f>IFERROR(VLOOKUP(D142,Mitarbeiter!$C$6:$I$13,3,FALSE),"")</f>
        <v>Service</v>
      </c>
      <c r="G142" s="3" t="s">
        <v>7</v>
      </c>
      <c r="H142" s="17">
        <v>0.375</v>
      </c>
      <c r="I142" s="17">
        <v>0.54166666666666663</v>
      </c>
      <c r="J142" s="18">
        <v>0</v>
      </c>
      <c r="K142" s="11">
        <f t="shared" si="26"/>
        <v>4</v>
      </c>
      <c r="L142" s="11">
        <f>IFERROR(VLOOKUP(D142,Mitarbeiter!$C$6:$I$13,6,FALSE),0)</f>
        <v>4</v>
      </c>
      <c r="M142" s="11">
        <f t="shared" si="27"/>
        <v>0</v>
      </c>
      <c r="N142" s="12">
        <f>IFERROR(VLOOKUP(D142,Mitarbeiter!$C$6:$I$13,7,FALSE),0)</f>
        <v>15</v>
      </c>
      <c r="O142" s="12">
        <f t="shared" si="28"/>
        <v>60</v>
      </c>
      <c r="P142" s="3"/>
      <c r="Q142" s="3" t="s">
        <v>38</v>
      </c>
      <c r="R142" s="10" t="str">
        <f t="shared" si="29"/>
        <v>OK</v>
      </c>
      <c r="S142" s="19"/>
    </row>
    <row r="143" spans="1:19" ht="18" customHeight="1" x14ac:dyDescent="0.25">
      <c r="A143" s="16">
        <v>46109</v>
      </c>
      <c r="B143" s="10" t="str">
        <f t="shared" si="24"/>
        <v>sábado</v>
      </c>
      <c r="C143" s="14" t="e">
        <f t="shared" ca="1" si="25"/>
        <v>#NAME?</v>
      </c>
      <c r="D143" s="3" t="s">
        <v>89</v>
      </c>
      <c r="E143" s="10" t="str">
        <f>IFERROR(VLOOKUP(D143,Mitarbeiter!$C$6:$I$13,2,FALSE),"")</f>
        <v>Mitarbeiter</v>
      </c>
      <c r="F143" s="10" t="str">
        <f>IFERROR(VLOOKUP(D143,Mitarbeiter!$C$6:$I$13,3,FALSE),"")</f>
        <v>Service</v>
      </c>
      <c r="G143" s="3" t="s">
        <v>7</v>
      </c>
      <c r="H143" s="17">
        <v>0.375</v>
      </c>
      <c r="I143" s="17">
        <v>0.58333333333333337</v>
      </c>
      <c r="J143" s="18">
        <v>0</v>
      </c>
      <c r="K143" s="11">
        <f t="shared" si="26"/>
        <v>5</v>
      </c>
      <c r="L143" s="11">
        <f>IFERROR(VLOOKUP(D143,Mitarbeiter!$C$6:$I$13,6,FALSE),0)</f>
        <v>5</v>
      </c>
      <c r="M143" s="11">
        <f t="shared" si="27"/>
        <v>0</v>
      </c>
      <c r="N143" s="12">
        <f>IFERROR(VLOOKUP(D143,Mitarbeiter!$C$6:$I$13,7,FALSE),0)</f>
        <v>17.8</v>
      </c>
      <c r="O143" s="12">
        <f t="shared" si="28"/>
        <v>89</v>
      </c>
      <c r="P143" s="3"/>
      <c r="Q143" s="3" t="s">
        <v>38</v>
      </c>
      <c r="R143" s="10" t="str">
        <f t="shared" si="29"/>
        <v>OK</v>
      </c>
      <c r="S143" s="19"/>
    </row>
    <row r="144" spans="1:19" ht="18" customHeight="1" x14ac:dyDescent="0.25">
      <c r="A144" s="16">
        <v>46110</v>
      </c>
      <c r="B144" s="10" t="str">
        <f t="shared" si="24"/>
        <v>domingo</v>
      </c>
      <c r="C144" s="14" t="e">
        <f t="shared" ca="1" si="25"/>
        <v>#NAME?</v>
      </c>
      <c r="D144" s="3" t="s">
        <v>103</v>
      </c>
      <c r="E144" s="10" t="str">
        <f>IFERROR(VLOOKUP(D144,Mitarbeiter!$C$6:$I$13,2,FALSE),"")</f>
        <v>Aushilfe</v>
      </c>
      <c r="F144" s="10" t="str">
        <f>IFERROR(VLOOKUP(D144,Mitarbeiter!$C$6:$I$13,3,FALSE),"")</f>
        <v>Service</v>
      </c>
      <c r="G144" s="3" t="s">
        <v>7</v>
      </c>
      <c r="H144" s="17">
        <v>0.375</v>
      </c>
      <c r="I144" s="17">
        <v>0.54166666666666663</v>
      </c>
      <c r="J144" s="18">
        <v>0</v>
      </c>
      <c r="K144" s="11">
        <f t="shared" si="26"/>
        <v>4</v>
      </c>
      <c r="L144" s="11">
        <f>IFERROR(VLOOKUP(D144,Mitarbeiter!$C$6:$I$13,6,FALSE),0)</f>
        <v>4</v>
      </c>
      <c r="M144" s="11">
        <f t="shared" si="27"/>
        <v>0</v>
      </c>
      <c r="N144" s="12">
        <f>IFERROR(VLOOKUP(D144,Mitarbeiter!$C$6:$I$13,7,FALSE),0)</f>
        <v>15</v>
      </c>
      <c r="O144" s="12">
        <f t="shared" si="28"/>
        <v>60</v>
      </c>
      <c r="P144" s="3"/>
      <c r="Q144" s="3" t="s">
        <v>38</v>
      </c>
      <c r="R144" s="10" t="str">
        <f t="shared" si="29"/>
        <v>OK</v>
      </c>
      <c r="S144" s="19"/>
    </row>
    <row r="145" spans="1:19" ht="18" customHeight="1" x14ac:dyDescent="0.25">
      <c r="A145" s="16">
        <v>46110</v>
      </c>
      <c r="B145" s="10" t="str">
        <f t="shared" si="24"/>
        <v>domingo</v>
      </c>
      <c r="C145" s="14" t="e">
        <f t="shared" ca="1" si="25"/>
        <v>#NAME?</v>
      </c>
      <c r="D145" s="3" t="s">
        <v>89</v>
      </c>
      <c r="E145" s="10" t="str">
        <f>IFERROR(VLOOKUP(D145,Mitarbeiter!$C$6:$I$13,2,FALSE),"")</f>
        <v>Mitarbeiter</v>
      </c>
      <c r="F145" s="10" t="str">
        <f>IFERROR(VLOOKUP(D145,Mitarbeiter!$C$6:$I$13,3,FALSE),"")</f>
        <v>Service</v>
      </c>
      <c r="G145" s="3" t="s">
        <v>7</v>
      </c>
      <c r="H145" s="17">
        <v>0.375</v>
      </c>
      <c r="I145" s="17">
        <v>0.58333333333333337</v>
      </c>
      <c r="J145" s="18">
        <v>0</v>
      </c>
      <c r="K145" s="11">
        <f t="shared" si="26"/>
        <v>5</v>
      </c>
      <c r="L145" s="11">
        <f>IFERROR(VLOOKUP(D145,Mitarbeiter!$C$6:$I$13,6,FALSE),0)</f>
        <v>5</v>
      </c>
      <c r="M145" s="11">
        <f t="shared" si="27"/>
        <v>0</v>
      </c>
      <c r="N145" s="12">
        <f>IFERROR(VLOOKUP(D145,Mitarbeiter!$C$6:$I$13,7,FALSE),0)</f>
        <v>17.8</v>
      </c>
      <c r="O145" s="12">
        <f t="shared" si="28"/>
        <v>89</v>
      </c>
      <c r="P145" s="3"/>
      <c r="Q145" s="3" t="s">
        <v>38</v>
      </c>
      <c r="R145" s="10" t="str">
        <f t="shared" si="29"/>
        <v>OK</v>
      </c>
      <c r="S145" s="19"/>
    </row>
    <row r="146" spans="1:19" ht="18" customHeight="1" x14ac:dyDescent="0.25">
      <c r="A146" s="16">
        <v>46111</v>
      </c>
      <c r="B146" s="10" t="str">
        <f t="shared" si="24"/>
        <v>lunes</v>
      </c>
      <c r="C146" s="14" t="e">
        <f t="shared" ca="1" si="25"/>
        <v>#NAME?</v>
      </c>
      <c r="D146" s="3" t="s">
        <v>80</v>
      </c>
      <c r="E146" s="10" t="str">
        <f>IFERROR(VLOOKUP(D146,Mitarbeiter!$C$6:$I$13,2,FALSE),"")</f>
        <v>Teamleitung</v>
      </c>
      <c r="F146" s="10" t="str">
        <f>IFERROR(VLOOKUP(D146,Mitarbeiter!$C$6:$I$13,3,FALSE),"")</f>
        <v>Verkauf</v>
      </c>
      <c r="G146" s="3" t="s">
        <v>3</v>
      </c>
      <c r="H146" s="17">
        <v>0.25</v>
      </c>
      <c r="I146" s="17">
        <v>0.58333333333333337</v>
      </c>
      <c r="J146" s="18">
        <v>30</v>
      </c>
      <c r="K146" s="11">
        <f t="shared" si="26"/>
        <v>7.5</v>
      </c>
      <c r="L146" s="11">
        <f>IFERROR(VLOOKUP(D146,Mitarbeiter!$C$6:$I$13,6,FALSE),0)</f>
        <v>8</v>
      </c>
      <c r="M146" s="11">
        <f t="shared" si="27"/>
        <v>-0.5</v>
      </c>
      <c r="N146" s="12">
        <f>IFERROR(VLOOKUP(D146,Mitarbeiter!$C$6:$I$13,7,FALSE),0)</f>
        <v>24.5</v>
      </c>
      <c r="O146" s="12">
        <f t="shared" si="28"/>
        <v>183.75</v>
      </c>
      <c r="P146" s="3"/>
      <c r="Q146" s="3" t="s">
        <v>38</v>
      </c>
      <c r="R146" s="10" t="str">
        <f t="shared" si="29"/>
        <v>OK</v>
      </c>
      <c r="S146" s="19"/>
    </row>
    <row r="147" spans="1:19" ht="18" customHeight="1" x14ac:dyDescent="0.25">
      <c r="A147" s="16">
        <v>46111</v>
      </c>
      <c r="B147" s="10" t="str">
        <f t="shared" si="24"/>
        <v>lunes</v>
      </c>
      <c r="C147" s="14" t="e">
        <f t="shared" ca="1" si="25"/>
        <v>#NAME?</v>
      </c>
      <c r="D147" s="3" t="s">
        <v>85</v>
      </c>
      <c r="E147" s="10" t="str">
        <f>IFERROR(VLOOKUP(D147,Mitarbeiter!$C$6:$I$13,2,FALSE),"")</f>
        <v>Mitarbeiter</v>
      </c>
      <c r="F147" s="10" t="str">
        <f>IFERROR(VLOOKUP(D147,Mitarbeiter!$C$6:$I$13,3,FALSE),"")</f>
        <v>Verkauf</v>
      </c>
      <c r="G147" s="3" t="s">
        <v>3</v>
      </c>
      <c r="H147" s="17">
        <v>0.25</v>
      </c>
      <c r="I147" s="17">
        <v>0.58333333333333337</v>
      </c>
      <c r="J147" s="18">
        <v>30</v>
      </c>
      <c r="K147" s="11">
        <f t="shared" si="26"/>
        <v>7.5</v>
      </c>
      <c r="L147" s="11">
        <f>IFERROR(VLOOKUP(D147,Mitarbeiter!$C$6:$I$13,6,FALSE),0)</f>
        <v>8</v>
      </c>
      <c r="M147" s="11">
        <f t="shared" si="27"/>
        <v>-0.5</v>
      </c>
      <c r="N147" s="12">
        <f>IFERROR(VLOOKUP(D147,Mitarbeiter!$C$6:$I$13,7,FALSE),0)</f>
        <v>18.5</v>
      </c>
      <c r="O147" s="12">
        <f t="shared" si="28"/>
        <v>138.75</v>
      </c>
      <c r="P147" s="3"/>
      <c r="Q147" s="3" t="s">
        <v>38</v>
      </c>
      <c r="R147" s="10" t="str">
        <f t="shared" si="29"/>
        <v>OK</v>
      </c>
      <c r="S147" s="19"/>
    </row>
    <row r="148" spans="1:19" ht="18" customHeight="1" x14ac:dyDescent="0.25">
      <c r="A148" s="16">
        <v>46111</v>
      </c>
      <c r="B148" s="10" t="str">
        <f t="shared" si="24"/>
        <v>lunes</v>
      </c>
      <c r="C148" s="14" t="e">
        <f t="shared" ca="1" si="25"/>
        <v>#NAME?</v>
      </c>
      <c r="D148" s="3" t="s">
        <v>94</v>
      </c>
      <c r="E148" s="10" t="str">
        <f>IFERROR(VLOOKUP(D148,Mitarbeiter!$C$6:$I$13,2,FALSE),"")</f>
        <v>Mitarbeiter</v>
      </c>
      <c r="F148" s="10" t="str">
        <f>IFERROR(VLOOKUP(D148,Mitarbeiter!$C$6:$I$13,3,FALSE),"")</f>
        <v>Lager</v>
      </c>
      <c r="G148" s="3" t="s">
        <v>4</v>
      </c>
      <c r="H148" s="17">
        <v>0.58333333333333337</v>
      </c>
      <c r="I148" s="17">
        <v>0.91666666666666663</v>
      </c>
      <c r="J148" s="18">
        <v>30</v>
      </c>
      <c r="K148" s="11">
        <f t="shared" si="26"/>
        <v>7.5</v>
      </c>
      <c r="L148" s="11">
        <f>IFERROR(VLOOKUP(D148,Mitarbeiter!$C$6:$I$13,6,FALSE),0)</f>
        <v>8</v>
      </c>
      <c r="M148" s="11">
        <f t="shared" si="27"/>
        <v>-0.5</v>
      </c>
      <c r="N148" s="12">
        <f>IFERROR(VLOOKUP(D148,Mitarbeiter!$C$6:$I$13,7,FALSE),0)</f>
        <v>19.2</v>
      </c>
      <c r="O148" s="12">
        <f t="shared" si="28"/>
        <v>144</v>
      </c>
      <c r="P148" s="3"/>
      <c r="Q148" s="3" t="s">
        <v>38</v>
      </c>
      <c r="R148" s="10" t="str">
        <f t="shared" si="29"/>
        <v>OK</v>
      </c>
      <c r="S148" s="19"/>
    </row>
    <row r="149" spans="1:19" ht="18" customHeight="1" x14ac:dyDescent="0.25">
      <c r="A149" s="16">
        <v>46111</v>
      </c>
      <c r="B149" s="10" t="str">
        <f t="shared" si="24"/>
        <v>lunes</v>
      </c>
      <c r="C149" s="14" t="e">
        <f t="shared" ca="1" si="25"/>
        <v>#NAME?</v>
      </c>
      <c r="D149" s="3" t="s">
        <v>98</v>
      </c>
      <c r="E149" s="10" t="str">
        <f>IFERROR(VLOOKUP(D149,Mitarbeiter!$C$6:$I$13,2,FALSE),"")</f>
        <v>Verwaltung</v>
      </c>
      <c r="F149" s="10" t="str">
        <f>IFERROR(VLOOKUP(D149,Mitarbeiter!$C$6:$I$13,3,FALSE),"")</f>
        <v>Büro</v>
      </c>
      <c r="G149" s="3" t="s">
        <v>6</v>
      </c>
      <c r="H149" s="17">
        <v>0.375</v>
      </c>
      <c r="I149" s="17">
        <v>0.70833333333333337</v>
      </c>
      <c r="J149" s="18">
        <v>60</v>
      </c>
      <c r="K149" s="11">
        <f t="shared" si="26"/>
        <v>7</v>
      </c>
      <c r="L149" s="11">
        <f>IFERROR(VLOOKUP(D149,Mitarbeiter!$C$6:$I$13,6,FALSE),0)</f>
        <v>7.6</v>
      </c>
      <c r="M149" s="11">
        <f t="shared" si="27"/>
        <v>-0.59999999999999964</v>
      </c>
      <c r="N149" s="12">
        <f>IFERROR(VLOOKUP(D149,Mitarbeiter!$C$6:$I$13,7,FALSE),0)</f>
        <v>22</v>
      </c>
      <c r="O149" s="12">
        <f t="shared" si="28"/>
        <v>154</v>
      </c>
      <c r="P149" s="3"/>
      <c r="Q149" s="3" t="s">
        <v>38</v>
      </c>
      <c r="R149" s="10" t="str">
        <f t="shared" si="29"/>
        <v>OK</v>
      </c>
      <c r="S149" s="19"/>
    </row>
    <row r="150" spans="1:19" ht="18" customHeight="1" x14ac:dyDescent="0.25">
      <c r="A150" s="16">
        <v>46111</v>
      </c>
      <c r="B150" s="10" t="str">
        <f t="shared" si="24"/>
        <v>lunes</v>
      </c>
      <c r="C150" s="14" t="e">
        <f t="shared" ca="1" si="25"/>
        <v>#NAME?</v>
      </c>
      <c r="D150" s="3" t="s">
        <v>112</v>
      </c>
      <c r="E150" s="10" t="str">
        <f>IFERROR(VLOOKUP(D150,Mitarbeiter!$C$6:$I$13,2,FALSE),"")</f>
        <v>Mitarbeiter</v>
      </c>
      <c r="F150" s="10" t="str">
        <f>IFERROR(VLOOKUP(D150,Mitarbeiter!$C$6:$I$13,3,FALSE),"")</f>
        <v>Produktion</v>
      </c>
      <c r="G150" s="3" t="s">
        <v>3</v>
      </c>
      <c r="H150" s="17">
        <v>0.25</v>
      </c>
      <c r="I150" s="17">
        <v>0.58333333333333337</v>
      </c>
      <c r="J150" s="18">
        <v>30</v>
      </c>
      <c r="K150" s="11">
        <f t="shared" si="26"/>
        <v>7.5</v>
      </c>
      <c r="L150" s="11">
        <f>IFERROR(VLOOKUP(D150,Mitarbeiter!$C$6:$I$13,6,FALSE),0)</f>
        <v>8</v>
      </c>
      <c r="M150" s="11">
        <f t="shared" si="27"/>
        <v>-0.5</v>
      </c>
      <c r="N150" s="12">
        <f>IFERROR(VLOOKUP(D150,Mitarbeiter!$C$6:$I$13,7,FALSE),0)</f>
        <v>19.8</v>
      </c>
      <c r="O150" s="12">
        <f t="shared" si="28"/>
        <v>148.5</v>
      </c>
      <c r="P150" s="3"/>
      <c r="Q150" s="3" t="s">
        <v>38</v>
      </c>
      <c r="R150" s="10" t="str">
        <f t="shared" si="29"/>
        <v>OK</v>
      </c>
      <c r="S150" s="19"/>
    </row>
    <row r="151" spans="1:19" ht="18" customHeight="1" x14ac:dyDescent="0.25">
      <c r="A151" s="16">
        <v>46111</v>
      </c>
      <c r="B151" s="10" t="str">
        <f t="shared" si="24"/>
        <v>lunes</v>
      </c>
      <c r="C151" s="14" t="e">
        <f t="shared" ca="1" si="25"/>
        <v>#NAME?</v>
      </c>
      <c r="D151" s="3" t="s">
        <v>108</v>
      </c>
      <c r="E151" s="10" t="str">
        <f>IFERROR(VLOOKUP(D151,Mitarbeiter!$C$6:$I$13,2,FALSE),"")</f>
        <v>Mitarbeiter</v>
      </c>
      <c r="F151" s="10" t="str">
        <f>IFERROR(VLOOKUP(D151,Mitarbeiter!$C$6:$I$13,3,FALSE),"")</f>
        <v>Pflege</v>
      </c>
      <c r="G151" s="3" t="s">
        <v>3</v>
      </c>
      <c r="H151" s="17">
        <v>0.29166666666666669</v>
      </c>
      <c r="I151" s="17">
        <v>0.54166666666666663</v>
      </c>
      <c r="J151" s="18">
        <v>30</v>
      </c>
      <c r="K151" s="11">
        <f t="shared" si="26"/>
        <v>5.5</v>
      </c>
      <c r="L151" s="11">
        <f>IFERROR(VLOOKUP(D151,Mitarbeiter!$C$6:$I$13,6,FALSE),0)</f>
        <v>6</v>
      </c>
      <c r="M151" s="11">
        <f t="shared" si="27"/>
        <v>-0.5</v>
      </c>
      <c r="N151" s="12">
        <f>IFERROR(VLOOKUP(D151,Mitarbeiter!$C$6:$I$13,7,FALSE),0)</f>
        <v>20.5</v>
      </c>
      <c r="O151" s="12">
        <f t="shared" si="28"/>
        <v>112.75</v>
      </c>
      <c r="P151" s="3"/>
      <c r="Q151" s="3" t="s">
        <v>38</v>
      </c>
      <c r="R151" s="10" t="str">
        <f t="shared" si="29"/>
        <v>OK</v>
      </c>
      <c r="S151" s="19"/>
    </row>
    <row r="152" spans="1:19" ht="18" customHeight="1" x14ac:dyDescent="0.25">
      <c r="A152" s="16">
        <v>46112</v>
      </c>
      <c r="B152" s="10" t="str">
        <f t="shared" si="24"/>
        <v>martes</v>
      </c>
      <c r="C152" s="14" t="e">
        <f t="shared" ca="1" si="25"/>
        <v>#NAME?</v>
      </c>
      <c r="D152" s="3" t="s">
        <v>80</v>
      </c>
      <c r="E152" s="10" t="str">
        <f>IFERROR(VLOOKUP(D152,Mitarbeiter!$C$6:$I$13,2,FALSE),"")</f>
        <v>Teamleitung</v>
      </c>
      <c r="F152" s="10" t="str">
        <f>IFERROR(VLOOKUP(D152,Mitarbeiter!$C$6:$I$13,3,FALSE),"")</f>
        <v>Verkauf</v>
      </c>
      <c r="G152" s="3" t="s">
        <v>3</v>
      </c>
      <c r="H152" s="17">
        <v>0.25</v>
      </c>
      <c r="I152" s="17">
        <v>0.58333333333333337</v>
      </c>
      <c r="J152" s="18">
        <v>30</v>
      </c>
      <c r="K152" s="11">
        <f t="shared" si="26"/>
        <v>7.5</v>
      </c>
      <c r="L152" s="11">
        <f>IFERROR(VLOOKUP(D152,Mitarbeiter!$C$6:$I$13,6,FALSE),0)</f>
        <v>8</v>
      </c>
      <c r="M152" s="11">
        <f t="shared" si="27"/>
        <v>-0.5</v>
      </c>
      <c r="N152" s="12">
        <f>IFERROR(VLOOKUP(D152,Mitarbeiter!$C$6:$I$13,7,FALSE),0)</f>
        <v>24.5</v>
      </c>
      <c r="O152" s="12">
        <f t="shared" si="28"/>
        <v>183.75</v>
      </c>
      <c r="P152" s="3"/>
      <c r="Q152" s="3" t="s">
        <v>38</v>
      </c>
      <c r="R152" s="10" t="str">
        <f t="shared" si="29"/>
        <v>OK</v>
      </c>
      <c r="S152" s="19"/>
    </row>
    <row r="153" spans="1:19" ht="18" customHeight="1" x14ac:dyDescent="0.25">
      <c r="A153" s="16">
        <v>46112</v>
      </c>
      <c r="B153" s="10" t="str">
        <f t="shared" si="24"/>
        <v>martes</v>
      </c>
      <c r="C153" s="14" t="e">
        <f t="shared" ca="1" si="25"/>
        <v>#NAME?</v>
      </c>
      <c r="D153" s="3" t="s">
        <v>85</v>
      </c>
      <c r="E153" s="10" t="str">
        <f>IFERROR(VLOOKUP(D153,Mitarbeiter!$C$6:$I$13,2,FALSE),"")</f>
        <v>Mitarbeiter</v>
      </c>
      <c r="F153" s="10" t="str">
        <f>IFERROR(VLOOKUP(D153,Mitarbeiter!$C$6:$I$13,3,FALSE),"")</f>
        <v>Verkauf</v>
      </c>
      <c r="G153" s="3" t="s">
        <v>3</v>
      </c>
      <c r="H153" s="17">
        <v>0.25</v>
      </c>
      <c r="I153" s="17">
        <v>0.58333333333333337</v>
      </c>
      <c r="J153" s="18">
        <v>30</v>
      </c>
      <c r="K153" s="11">
        <f t="shared" si="26"/>
        <v>7.5</v>
      </c>
      <c r="L153" s="11">
        <f>IFERROR(VLOOKUP(D153,Mitarbeiter!$C$6:$I$13,6,FALSE),0)</f>
        <v>8</v>
      </c>
      <c r="M153" s="11">
        <f t="shared" si="27"/>
        <v>-0.5</v>
      </c>
      <c r="N153" s="12">
        <f>IFERROR(VLOOKUP(D153,Mitarbeiter!$C$6:$I$13,7,FALSE),0)</f>
        <v>18.5</v>
      </c>
      <c r="O153" s="12">
        <f t="shared" si="28"/>
        <v>138.75</v>
      </c>
      <c r="P153" s="3"/>
      <c r="Q153" s="3" t="s">
        <v>38</v>
      </c>
      <c r="R153" s="10" t="str">
        <f t="shared" si="29"/>
        <v>OK</v>
      </c>
      <c r="S153" s="19"/>
    </row>
    <row r="154" spans="1:19" ht="18" customHeight="1" x14ac:dyDescent="0.25">
      <c r="A154" s="16">
        <v>46112</v>
      </c>
      <c r="B154" s="10" t="str">
        <f t="shared" si="24"/>
        <v>martes</v>
      </c>
      <c r="C154" s="14" t="e">
        <f t="shared" ca="1" si="25"/>
        <v>#NAME?</v>
      </c>
      <c r="D154" s="3" t="s">
        <v>94</v>
      </c>
      <c r="E154" s="10" t="str">
        <f>IFERROR(VLOOKUP(D154,Mitarbeiter!$C$6:$I$13,2,FALSE),"")</f>
        <v>Mitarbeiter</v>
      </c>
      <c r="F154" s="10" t="str">
        <f>IFERROR(VLOOKUP(D154,Mitarbeiter!$C$6:$I$13,3,FALSE),"")</f>
        <v>Lager</v>
      </c>
      <c r="G154" s="3" t="s">
        <v>4</v>
      </c>
      <c r="H154" s="17">
        <v>0.58333333333333337</v>
      </c>
      <c r="I154" s="17">
        <v>0.91666666666666663</v>
      </c>
      <c r="J154" s="18">
        <v>30</v>
      </c>
      <c r="K154" s="11">
        <f t="shared" si="26"/>
        <v>7.5</v>
      </c>
      <c r="L154" s="11">
        <f>IFERROR(VLOOKUP(D154,Mitarbeiter!$C$6:$I$13,6,FALSE),0)</f>
        <v>8</v>
      </c>
      <c r="M154" s="11">
        <f t="shared" si="27"/>
        <v>-0.5</v>
      </c>
      <c r="N154" s="12">
        <f>IFERROR(VLOOKUP(D154,Mitarbeiter!$C$6:$I$13,7,FALSE),0)</f>
        <v>19.2</v>
      </c>
      <c r="O154" s="12">
        <f t="shared" si="28"/>
        <v>144</v>
      </c>
      <c r="P154" s="3"/>
      <c r="Q154" s="3" t="s">
        <v>38</v>
      </c>
      <c r="R154" s="10" t="str">
        <f t="shared" si="29"/>
        <v>OK</v>
      </c>
      <c r="S154" s="19"/>
    </row>
    <row r="155" spans="1:19" ht="18" customHeight="1" x14ac:dyDescent="0.25">
      <c r="A155" s="16">
        <v>46112</v>
      </c>
      <c r="B155" s="10" t="str">
        <f t="shared" si="24"/>
        <v>martes</v>
      </c>
      <c r="C155" s="14" t="e">
        <f t="shared" ca="1" si="25"/>
        <v>#NAME?</v>
      </c>
      <c r="D155" s="3" t="s">
        <v>98</v>
      </c>
      <c r="E155" s="10" t="str">
        <f>IFERROR(VLOOKUP(D155,Mitarbeiter!$C$6:$I$13,2,FALSE),"")</f>
        <v>Verwaltung</v>
      </c>
      <c r="F155" s="10" t="str">
        <f>IFERROR(VLOOKUP(D155,Mitarbeiter!$C$6:$I$13,3,FALSE),"")</f>
        <v>Büro</v>
      </c>
      <c r="G155" s="3" t="s">
        <v>6</v>
      </c>
      <c r="H155" s="17">
        <v>0.375</v>
      </c>
      <c r="I155" s="17">
        <v>0.70833333333333337</v>
      </c>
      <c r="J155" s="18">
        <v>60</v>
      </c>
      <c r="K155" s="11">
        <f t="shared" si="26"/>
        <v>7</v>
      </c>
      <c r="L155" s="11">
        <f>IFERROR(VLOOKUP(D155,Mitarbeiter!$C$6:$I$13,6,FALSE),0)</f>
        <v>7.6</v>
      </c>
      <c r="M155" s="11">
        <f t="shared" si="27"/>
        <v>-0.59999999999999964</v>
      </c>
      <c r="N155" s="12">
        <f>IFERROR(VLOOKUP(D155,Mitarbeiter!$C$6:$I$13,7,FALSE),0)</f>
        <v>22</v>
      </c>
      <c r="O155" s="12">
        <f t="shared" si="28"/>
        <v>154</v>
      </c>
      <c r="P155" s="3"/>
      <c r="Q155" s="3" t="s">
        <v>38</v>
      </c>
      <c r="R155" s="10" t="str">
        <f t="shared" si="29"/>
        <v>OK</v>
      </c>
      <c r="S155" s="19"/>
    </row>
    <row r="156" spans="1:19" ht="18" customHeight="1" x14ac:dyDescent="0.25">
      <c r="A156" s="16">
        <v>46112</v>
      </c>
      <c r="B156" s="10" t="str">
        <f t="shared" si="24"/>
        <v>martes</v>
      </c>
      <c r="C156" s="14" t="e">
        <f t="shared" ca="1" si="25"/>
        <v>#NAME?</v>
      </c>
      <c r="D156" s="3" t="s">
        <v>112</v>
      </c>
      <c r="E156" s="10" t="str">
        <f>IFERROR(VLOOKUP(D156,Mitarbeiter!$C$6:$I$13,2,FALSE),"")</f>
        <v>Mitarbeiter</v>
      </c>
      <c r="F156" s="10" t="str">
        <f>IFERROR(VLOOKUP(D156,Mitarbeiter!$C$6:$I$13,3,FALSE),"")</f>
        <v>Produktion</v>
      </c>
      <c r="G156" s="3" t="s">
        <v>5</v>
      </c>
      <c r="H156" s="17">
        <v>0.91666666666666663</v>
      </c>
      <c r="I156" s="17">
        <v>0.25</v>
      </c>
      <c r="J156" s="18">
        <v>45</v>
      </c>
      <c r="K156" s="11">
        <f t="shared" si="26"/>
        <v>7.25</v>
      </c>
      <c r="L156" s="11">
        <f>IFERROR(VLOOKUP(D156,Mitarbeiter!$C$6:$I$13,6,FALSE),0)</f>
        <v>8</v>
      </c>
      <c r="M156" s="11">
        <f t="shared" si="27"/>
        <v>-0.75</v>
      </c>
      <c r="N156" s="12">
        <f>IFERROR(VLOOKUP(D156,Mitarbeiter!$C$6:$I$13,7,FALSE),0)</f>
        <v>19.8</v>
      </c>
      <c r="O156" s="12">
        <f t="shared" si="28"/>
        <v>143.55000000000001</v>
      </c>
      <c r="P156" s="3"/>
      <c r="Q156" s="3" t="s">
        <v>38</v>
      </c>
      <c r="R156" s="10" t="str">
        <f t="shared" si="29"/>
        <v>OK</v>
      </c>
      <c r="S156" s="19"/>
    </row>
    <row r="157" spans="1:19" ht="18" customHeight="1" x14ac:dyDescent="0.25">
      <c r="A157" s="16">
        <v>46112</v>
      </c>
      <c r="B157" s="10" t="str">
        <f t="shared" si="24"/>
        <v>martes</v>
      </c>
      <c r="C157" s="14" t="e">
        <f t="shared" ca="1" si="25"/>
        <v>#NAME?</v>
      </c>
      <c r="D157" s="3" t="s">
        <v>89</v>
      </c>
      <c r="E157" s="10" t="str">
        <f>IFERROR(VLOOKUP(D157,Mitarbeiter!$C$6:$I$13,2,FALSE),"")</f>
        <v>Mitarbeiter</v>
      </c>
      <c r="F157" s="10" t="str">
        <f>IFERROR(VLOOKUP(D157,Mitarbeiter!$C$6:$I$13,3,FALSE),"")</f>
        <v>Service</v>
      </c>
      <c r="G157" s="3" t="s">
        <v>7</v>
      </c>
      <c r="H157" s="17">
        <v>0.375</v>
      </c>
      <c r="I157" s="17">
        <v>0.58333333333333337</v>
      </c>
      <c r="J157" s="18">
        <v>0</v>
      </c>
      <c r="K157" s="11">
        <f t="shared" si="26"/>
        <v>5</v>
      </c>
      <c r="L157" s="11">
        <f>IFERROR(VLOOKUP(D157,Mitarbeiter!$C$6:$I$13,6,FALSE),0)</f>
        <v>5</v>
      </c>
      <c r="M157" s="11">
        <f t="shared" si="27"/>
        <v>0</v>
      </c>
      <c r="N157" s="12">
        <f>IFERROR(VLOOKUP(D157,Mitarbeiter!$C$6:$I$13,7,FALSE),0)</f>
        <v>17.8</v>
      </c>
      <c r="O157" s="12">
        <f t="shared" si="28"/>
        <v>89</v>
      </c>
      <c r="P157" s="3"/>
      <c r="Q157" s="3" t="s">
        <v>38</v>
      </c>
      <c r="R157" s="10" t="str">
        <f t="shared" si="29"/>
        <v>OK</v>
      </c>
      <c r="S157" s="19"/>
    </row>
  </sheetData>
  <mergeCells count="1">
    <mergeCell ref="A1:S1"/>
  </mergeCells>
  <conditionalFormatting sqref="A6:S157">
    <cfRule type="expression" dxfId="15" priority="1">
      <formula>WEEKDAY($A6,2)&gt;5</formula>
    </cfRule>
    <cfRule type="expression" dxfId="14" priority="10">
      <formula>AND($D6&lt;&gt;"",$P6="",$H6="",$I6="")</formula>
    </cfRule>
  </conditionalFormatting>
  <conditionalFormatting sqref="P6:P157">
    <cfRule type="containsText" dxfId="13" priority="2" operator="containsText" text="Urlaub">
      <formula>NOT(ISERROR(SEARCH("Urlaub",P6)))</formula>
    </cfRule>
    <cfRule type="containsText" dxfId="12" priority="3" operator="containsText" text="Krankheit">
      <formula>NOT(ISERROR(SEARCH("Krankheit",P6)))</formula>
    </cfRule>
    <cfRule type="containsText" dxfId="11" priority="4" operator="containsText" text="Frei">
      <formula>NOT(ISERROR(SEARCH("Frei",P6)))</formula>
    </cfRule>
    <cfRule type="containsText" dxfId="10" priority="5" operator="containsText" text="Fortbildung">
      <formula>NOT(ISERROR(SEARCH("Fortbildung",P6)))</formula>
    </cfRule>
  </conditionalFormatting>
  <conditionalFormatting sqref="R6:R157">
    <cfRule type="containsText" dxfId="9" priority="6" operator="containsText" text="Überstunden">
      <formula>NOT(ISERROR(SEARCH("Überstunden",R6)))</formula>
    </cfRule>
    <cfRule type="containsText" dxfId="8" priority="7" operator="containsText" text="Unter Soll">
      <formula>NOT(ISERROR(SEARCH("Unter Soll",R6)))</formula>
    </cfRule>
    <cfRule type="containsText" dxfId="7" priority="8" operator="containsText" text="OK">
      <formula>NOT(ISERROR(SEARCH("OK",R6)))</formula>
    </cfRule>
    <cfRule type="containsText" dxfId="6" priority="9" operator="containsText" text="Ruhetag">
      <formula>NOT(ISERROR(SEARCH("Ruhetag",R6)))</formula>
    </cfRule>
  </conditionalFormatting>
  <dataValidations count="4">
    <dataValidation type="list" allowBlank="1" showInputMessage="1" showErrorMessage="1" sqref="D6:D177" xr:uid="{00000000-0002-0000-0100-000000000000}">
      <formula1>"Anna Keller,Ben Schneider,Clara Hoffmann,David Braun,Emma Fischer,Felix Wagner,Hannah Weber,Jonas Meyer"</formula1>
    </dataValidation>
    <dataValidation type="list" allowBlank="1" showInputMessage="1" showErrorMessage="1" sqref="G6:G177" xr:uid="{00000000-0002-0000-0100-000001000000}">
      <formula1>"Frühschicht,Spätschicht,Nachtschicht,Büro,Teilzeit,Frei,Bereitschaft,Sonderdienst"</formula1>
    </dataValidation>
    <dataValidation type="list" allowBlank="1" showInputMessage="1" showErrorMessage="1" sqref="P6:P177" xr:uid="{00000000-0002-0000-0100-000002000000}">
      <formula1>",Urlaub,Krankheit,Frei,Feiertag,Fortbildung"</formula1>
    </dataValidation>
    <dataValidation type="list" allowBlank="1" showInputMessage="1" showErrorMessage="1" sqref="Q6:Q177" xr:uid="{00000000-0002-0000-0100-000003000000}">
      <formula1>"Offen,Bestätigt,Geändert,Abgesagt"</formula1>
    </dataValidation>
  </dataValidations>
  <pageMargins left="0.3" right="0.3" top="0.6" bottom="0.6" header="0.3" footer="0.3"/>
  <pageSetup paperSize="9" fitToHeight="0" orientation="landscape"/>
  <headerFooter>
    <oddHeader>&amp;CArbeitsplan – März 2026</oddHeader>
    <oddFooter>&amp;L&amp;D &amp;T&amp;CArbeitsplan Excel&amp;RSeite &amp;P von &amp;N</oddFooter>
  </headerFooter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13"/>
  <sheetViews>
    <sheetView showGridLines="0" workbookViewId="0">
      <pane ySplit="5" topLeftCell="A6" activePane="bottomLeft" state="frozen"/>
      <selection pane="bottomLeft" sqref="A1:M1"/>
    </sheetView>
  </sheetViews>
  <sheetFormatPr baseColWidth="10" defaultColWidth="9.140625" defaultRowHeight="18" customHeight="1" x14ac:dyDescent="0.25"/>
  <cols>
    <col min="1" max="1" width="8.7109375" customWidth="1"/>
    <col min="2" max="2" width="14.7109375" customWidth="1"/>
    <col min="3" max="3" width="18.7109375" customWidth="1"/>
    <col min="4" max="8" width="16.7109375" customWidth="1"/>
    <col min="9" max="10" width="14.7109375" customWidth="1"/>
    <col min="11" max="12" width="24.7109375" customWidth="1"/>
    <col min="13" max="13" width="28.7109375" customWidth="1"/>
  </cols>
  <sheetData>
    <row r="1" spans="1:13" ht="27.95" customHeight="1" x14ac:dyDescent="0.25">
      <c r="A1" s="21" t="s">
        <v>65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18" customHeight="1" x14ac:dyDescent="0.25">
      <c r="A2" s="1" t="s">
        <v>66</v>
      </c>
    </row>
    <row r="5" spans="1:13" ht="30" customHeight="1" x14ac:dyDescent="0.25">
      <c r="A5" s="9" t="s">
        <v>67</v>
      </c>
      <c r="B5" s="9" t="s">
        <v>68</v>
      </c>
      <c r="C5" s="9" t="s">
        <v>13</v>
      </c>
      <c r="D5" s="9" t="s">
        <v>69</v>
      </c>
      <c r="E5" s="9" t="s">
        <v>70</v>
      </c>
      <c r="F5" s="9" t="s">
        <v>71</v>
      </c>
      <c r="G5" s="9" t="s">
        <v>72</v>
      </c>
      <c r="H5" s="9" t="s">
        <v>73</v>
      </c>
      <c r="I5" s="9" t="s">
        <v>74</v>
      </c>
      <c r="J5" s="9" t="s">
        <v>75</v>
      </c>
      <c r="K5" s="9" t="s">
        <v>76</v>
      </c>
      <c r="L5" s="9" t="s">
        <v>77</v>
      </c>
      <c r="M5" s="9" t="s">
        <v>78</v>
      </c>
    </row>
    <row r="6" spans="1:13" ht="18" customHeight="1" x14ac:dyDescent="0.25">
      <c r="A6" s="3" t="s">
        <v>42</v>
      </c>
      <c r="B6" s="3" t="s">
        <v>79</v>
      </c>
      <c r="C6" s="3" t="s">
        <v>80</v>
      </c>
      <c r="D6" s="3" t="s">
        <v>12</v>
      </c>
      <c r="E6" s="3" t="s">
        <v>19</v>
      </c>
      <c r="F6" s="3" t="s">
        <v>27</v>
      </c>
      <c r="G6" s="18">
        <v>40</v>
      </c>
      <c r="H6" s="18">
        <v>8</v>
      </c>
      <c r="I6" s="20">
        <v>24.5</v>
      </c>
      <c r="J6" s="16">
        <v>44571</v>
      </c>
      <c r="K6" s="3" t="s">
        <v>81</v>
      </c>
      <c r="L6" s="3" t="s">
        <v>82</v>
      </c>
      <c r="M6" s="19" t="s">
        <v>83</v>
      </c>
    </row>
    <row r="7" spans="1:13" ht="18" customHeight="1" x14ac:dyDescent="0.25">
      <c r="A7" s="3" t="s">
        <v>42</v>
      </c>
      <c r="B7" s="3" t="s">
        <v>84</v>
      </c>
      <c r="C7" s="3" t="s">
        <v>85</v>
      </c>
      <c r="D7" s="3" t="s">
        <v>13</v>
      </c>
      <c r="E7" s="3" t="s">
        <v>19</v>
      </c>
      <c r="F7" s="3" t="s">
        <v>27</v>
      </c>
      <c r="G7" s="18">
        <v>40</v>
      </c>
      <c r="H7" s="18">
        <v>8</v>
      </c>
      <c r="I7" s="20">
        <v>18.5</v>
      </c>
      <c r="J7" s="16">
        <v>44409</v>
      </c>
      <c r="K7" s="3" t="s">
        <v>86</v>
      </c>
      <c r="L7" s="3" t="s">
        <v>87</v>
      </c>
      <c r="M7" s="19"/>
    </row>
    <row r="8" spans="1:13" ht="18" customHeight="1" x14ac:dyDescent="0.25">
      <c r="A8" s="3" t="s">
        <v>42</v>
      </c>
      <c r="B8" s="3" t="s">
        <v>88</v>
      </c>
      <c r="C8" s="3" t="s">
        <v>89</v>
      </c>
      <c r="D8" s="3" t="s">
        <v>13</v>
      </c>
      <c r="E8" s="3" t="s">
        <v>20</v>
      </c>
      <c r="F8" s="3" t="s">
        <v>7</v>
      </c>
      <c r="G8" s="18">
        <v>25</v>
      </c>
      <c r="H8" s="18">
        <v>5</v>
      </c>
      <c r="I8" s="20">
        <v>17.8</v>
      </c>
      <c r="J8" s="16">
        <v>45031</v>
      </c>
      <c r="K8" s="3" t="s">
        <v>90</v>
      </c>
      <c r="L8" s="3" t="s">
        <v>91</v>
      </c>
      <c r="M8" s="19" t="s">
        <v>92</v>
      </c>
    </row>
    <row r="9" spans="1:13" ht="18" customHeight="1" x14ac:dyDescent="0.25">
      <c r="A9" s="3" t="s">
        <v>42</v>
      </c>
      <c r="B9" s="3" t="s">
        <v>93</v>
      </c>
      <c r="C9" s="3" t="s">
        <v>94</v>
      </c>
      <c r="D9" s="3" t="s">
        <v>13</v>
      </c>
      <c r="E9" s="3" t="s">
        <v>21</v>
      </c>
      <c r="F9" s="3" t="s">
        <v>27</v>
      </c>
      <c r="G9" s="18">
        <v>40</v>
      </c>
      <c r="H9" s="18">
        <v>8</v>
      </c>
      <c r="I9" s="20">
        <v>19.2</v>
      </c>
      <c r="J9" s="16">
        <v>44136</v>
      </c>
      <c r="K9" s="3" t="s">
        <v>95</v>
      </c>
      <c r="L9" s="3" t="s">
        <v>96</v>
      </c>
      <c r="M9" s="19"/>
    </row>
    <row r="10" spans="1:13" ht="18" customHeight="1" x14ac:dyDescent="0.25">
      <c r="A10" s="3" t="s">
        <v>42</v>
      </c>
      <c r="B10" s="3" t="s">
        <v>97</v>
      </c>
      <c r="C10" s="3" t="s">
        <v>98</v>
      </c>
      <c r="D10" s="3" t="s">
        <v>15</v>
      </c>
      <c r="E10" s="3" t="s">
        <v>6</v>
      </c>
      <c r="F10" s="3" t="s">
        <v>27</v>
      </c>
      <c r="G10" s="18">
        <v>38</v>
      </c>
      <c r="H10" s="18">
        <v>7.6</v>
      </c>
      <c r="I10" s="20">
        <v>22</v>
      </c>
      <c r="J10" s="16">
        <v>44713</v>
      </c>
      <c r="K10" s="3" t="s">
        <v>99</v>
      </c>
      <c r="L10" s="3" t="s">
        <v>100</v>
      </c>
      <c r="M10" s="19" t="s">
        <v>101</v>
      </c>
    </row>
    <row r="11" spans="1:13" ht="18" customHeight="1" x14ac:dyDescent="0.25">
      <c r="A11" s="3" t="s">
        <v>42</v>
      </c>
      <c r="B11" s="3" t="s">
        <v>102</v>
      </c>
      <c r="C11" s="3" t="s">
        <v>103</v>
      </c>
      <c r="D11" s="3" t="s">
        <v>14</v>
      </c>
      <c r="E11" s="3" t="s">
        <v>20</v>
      </c>
      <c r="F11" s="3" t="s">
        <v>28</v>
      </c>
      <c r="G11" s="18">
        <v>12</v>
      </c>
      <c r="H11" s="18">
        <v>4</v>
      </c>
      <c r="I11" s="20">
        <v>15</v>
      </c>
      <c r="J11" s="16">
        <v>45323</v>
      </c>
      <c r="K11" s="3" t="s">
        <v>104</v>
      </c>
      <c r="L11" s="3" t="s">
        <v>105</v>
      </c>
      <c r="M11" s="19" t="s">
        <v>106</v>
      </c>
    </row>
    <row r="12" spans="1:13" ht="18" customHeight="1" x14ac:dyDescent="0.25">
      <c r="A12" s="3" t="s">
        <v>42</v>
      </c>
      <c r="B12" s="3" t="s">
        <v>107</v>
      </c>
      <c r="C12" s="3" t="s">
        <v>108</v>
      </c>
      <c r="D12" s="3" t="s">
        <v>13</v>
      </c>
      <c r="E12" s="3" t="s">
        <v>22</v>
      </c>
      <c r="F12" s="3" t="s">
        <v>7</v>
      </c>
      <c r="G12" s="18">
        <v>30</v>
      </c>
      <c r="H12" s="18">
        <v>6</v>
      </c>
      <c r="I12" s="20">
        <v>20.5</v>
      </c>
      <c r="J12" s="16">
        <v>45170</v>
      </c>
      <c r="K12" s="3" t="s">
        <v>109</v>
      </c>
      <c r="L12" s="3" t="s">
        <v>110</v>
      </c>
      <c r="M12" s="19"/>
    </row>
    <row r="13" spans="1:13" ht="18" customHeight="1" x14ac:dyDescent="0.25">
      <c r="A13" s="3" t="s">
        <v>42</v>
      </c>
      <c r="B13" s="3" t="s">
        <v>111</v>
      </c>
      <c r="C13" s="3" t="s">
        <v>112</v>
      </c>
      <c r="D13" s="3" t="s">
        <v>13</v>
      </c>
      <c r="E13" s="3" t="s">
        <v>23</v>
      </c>
      <c r="F13" s="3" t="s">
        <v>27</v>
      </c>
      <c r="G13" s="18">
        <v>40</v>
      </c>
      <c r="H13" s="18">
        <v>8</v>
      </c>
      <c r="I13" s="20">
        <v>19.8</v>
      </c>
      <c r="J13" s="16">
        <v>43586</v>
      </c>
      <c r="K13" s="3" t="s">
        <v>113</v>
      </c>
      <c r="L13" s="3" t="s">
        <v>114</v>
      </c>
      <c r="M13" s="19"/>
    </row>
  </sheetData>
  <mergeCells count="1">
    <mergeCell ref="A1:M1"/>
  </mergeCells>
  <dataValidations count="4">
    <dataValidation type="list" allowBlank="1" showInputMessage="1" showErrorMessage="1" sqref="A6:A100" xr:uid="{00000000-0002-0000-0200-000000000000}">
      <formula1>"Ja,Nein"</formula1>
    </dataValidation>
    <dataValidation type="list" allowBlank="1" showInputMessage="1" showErrorMessage="1" sqref="D6:D100" xr:uid="{00000000-0002-0000-0200-000001000000}">
      <formula1>"Teamleitung,Mitarbeiter,Aushilfe,Verwaltung,Schichtleitung,Freelancer"</formula1>
    </dataValidation>
    <dataValidation type="list" allowBlank="1" showInputMessage="1" showErrorMessage="1" sqref="E6:E100" xr:uid="{00000000-0002-0000-0200-000002000000}">
      <formula1>"Verkauf,Service,Lager,Büro,Pflege,Produktion,Küche,Reinigung"</formula1>
    </dataValidation>
    <dataValidation type="list" allowBlank="1" showInputMessage="1" showErrorMessage="1" sqref="F6:F100" xr:uid="{00000000-0002-0000-0200-000003000000}">
      <formula1>"Vollzeit,Teilzeit,Minijob,Aushilfe,Werkstudent,Freelancer"</formula1>
    </dataValidation>
  </dataValidations>
  <pageMargins left="0.3" right="0.3" top="0.6" bottom="0.6" header="0.3" footer="0.3"/>
  <pageSetup paperSize="9" fitToHeight="0" orientation="landscape"/>
  <headerFooter>
    <oddHeader>&amp;CMitarbeiterdaten</oddHeader>
    <oddFooter>&amp;L&amp;D &amp;T&amp;CArbeitsplan Excel&amp;RSeite &amp;P von &amp;N</oddFooter>
  </headerFooter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"/>
  <sheetViews>
    <sheetView showGridLines="0" workbookViewId="0">
      <pane ySplit="5" topLeftCell="A6" activePane="bottomLeft" state="frozen"/>
      <selection pane="bottomLeft" sqref="A1:H1"/>
    </sheetView>
  </sheetViews>
  <sheetFormatPr baseColWidth="10" defaultColWidth="9.140625" defaultRowHeight="18" customHeight="1" x14ac:dyDescent="0.25"/>
  <cols>
    <col min="1" max="2" width="18.7109375" customWidth="1"/>
    <col min="3" max="4" width="14.7109375" customWidth="1"/>
    <col min="5" max="5" width="8.7109375" customWidth="1"/>
    <col min="6" max="6" width="12.7109375" customWidth="1"/>
    <col min="7" max="7" width="18.7109375" customWidth="1"/>
    <col min="8" max="8" width="28.7109375" customWidth="1"/>
  </cols>
  <sheetData>
    <row r="1" spans="1:8" ht="27.95" customHeight="1" x14ac:dyDescent="0.25">
      <c r="A1" s="21" t="s">
        <v>115</v>
      </c>
      <c r="B1" s="21"/>
      <c r="C1" s="21"/>
      <c r="D1" s="21"/>
      <c r="E1" s="21"/>
      <c r="F1" s="21"/>
      <c r="G1" s="21"/>
      <c r="H1" s="21"/>
    </row>
    <row r="2" spans="1:8" ht="18" customHeight="1" x14ac:dyDescent="0.25">
      <c r="A2" s="1" t="s">
        <v>116</v>
      </c>
    </row>
    <row r="5" spans="1:8" ht="30" customHeight="1" x14ac:dyDescent="0.25">
      <c r="A5" s="9" t="s">
        <v>13</v>
      </c>
      <c r="B5" s="9" t="s">
        <v>117</v>
      </c>
      <c r="C5" s="9" t="s">
        <v>118</v>
      </c>
      <c r="D5" s="9" t="s">
        <v>119</v>
      </c>
      <c r="E5" s="9" t="s">
        <v>120</v>
      </c>
      <c r="F5" s="9" t="s">
        <v>121</v>
      </c>
      <c r="G5" s="9" t="s">
        <v>122</v>
      </c>
      <c r="H5" s="9" t="s">
        <v>123</v>
      </c>
    </row>
    <row r="6" spans="1:8" ht="18" customHeight="1" x14ac:dyDescent="0.25">
      <c r="A6" s="3" t="s">
        <v>89</v>
      </c>
      <c r="B6" s="3" t="s">
        <v>31</v>
      </c>
      <c r="C6" s="16">
        <v>46090</v>
      </c>
      <c r="D6" s="16">
        <v>46093</v>
      </c>
      <c r="E6" s="14">
        <f>IFERROR(D6-C6+1,0)</f>
        <v>4</v>
      </c>
      <c r="F6" s="3" t="s">
        <v>42</v>
      </c>
      <c r="G6" s="3" t="s">
        <v>103</v>
      </c>
      <c r="H6" s="19" t="s">
        <v>124</v>
      </c>
    </row>
    <row r="7" spans="1:8" ht="18" customHeight="1" x14ac:dyDescent="0.25">
      <c r="A7" s="3" t="s">
        <v>103</v>
      </c>
      <c r="B7" s="3" t="s">
        <v>32</v>
      </c>
      <c r="C7" s="16">
        <v>46097</v>
      </c>
      <c r="D7" s="16">
        <v>46098</v>
      </c>
      <c r="E7" s="14">
        <f>IFERROR(D7-C7+1,0)</f>
        <v>2</v>
      </c>
      <c r="F7" s="3" t="s">
        <v>37</v>
      </c>
      <c r="G7" s="3" t="s">
        <v>89</v>
      </c>
      <c r="H7" s="19" t="s">
        <v>125</v>
      </c>
    </row>
    <row r="8" spans="1:8" ht="18" customHeight="1" x14ac:dyDescent="0.25">
      <c r="A8" s="3" t="s">
        <v>98</v>
      </c>
      <c r="B8" s="3" t="s">
        <v>34</v>
      </c>
      <c r="C8" s="16">
        <v>46105</v>
      </c>
      <c r="D8" s="16">
        <v>46105</v>
      </c>
      <c r="E8" s="14">
        <f>IFERROR(D8-C8+1,0)</f>
        <v>1</v>
      </c>
      <c r="F8" s="3" t="s">
        <v>42</v>
      </c>
      <c r="G8" s="3" t="s">
        <v>80</v>
      </c>
      <c r="H8" s="19" t="s">
        <v>126</v>
      </c>
    </row>
    <row r="9" spans="1:8" ht="18" customHeight="1" x14ac:dyDescent="0.25">
      <c r="A9" s="3" t="s">
        <v>112</v>
      </c>
      <c r="B9" s="3" t="s">
        <v>8</v>
      </c>
      <c r="C9" s="16">
        <v>46087</v>
      </c>
      <c r="D9" s="16">
        <v>46087</v>
      </c>
      <c r="E9" s="14">
        <f>IFERROR(D9-C9+1,0)</f>
        <v>1</v>
      </c>
      <c r="F9" s="3" t="s">
        <v>42</v>
      </c>
      <c r="G9" s="3" t="s">
        <v>94</v>
      </c>
      <c r="H9" s="19" t="s">
        <v>127</v>
      </c>
    </row>
  </sheetData>
  <mergeCells count="1">
    <mergeCell ref="A1:H1"/>
  </mergeCells>
  <conditionalFormatting sqref="B6:B100">
    <cfRule type="containsText" dxfId="5" priority="1" operator="containsText" text="Urlaub">
      <formula>NOT(ISERROR(SEARCH("Urlaub",B6)))</formula>
    </cfRule>
    <cfRule type="containsText" dxfId="4" priority="2" operator="containsText" text="Krankheit">
      <formula>NOT(ISERROR(SEARCH("Krankheit",B6)))</formula>
    </cfRule>
    <cfRule type="containsText" dxfId="3" priority="3" operator="containsText" text="Fortbildung">
      <formula>NOT(ISERROR(SEARCH("Fortbildung",B6)))</formula>
    </cfRule>
  </conditionalFormatting>
  <conditionalFormatting sqref="F6:F100">
    <cfRule type="containsText" dxfId="2" priority="4" operator="containsText" text="Nein">
      <formula>NOT(ISERROR(SEARCH("Nein",F6)))</formula>
    </cfRule>
    <cfRule type="containsText" dxfId="1" priority="5" operator="containsText" text="Offen">
      <formula>NOT(ISERROR(SEARCH("Offen",F6)))</formula>
    </cfRule>
    <cfRule type="containsText" dxfId="0" priority="6" operator="containsText" text="Ja">
      <formula>NOT(ISERROR(SEARCH("Ja",F6)))</formula>
    </cfRule>
  </conditionalFormatting>
  <dataValidations count="3">
    <dataValidation type="list" allowBlank="1" showInputMessage="1" showErrorMessage="1" sqref="A6:A100 G6:G100" xr:uid="{00000000-0002-0000-0300-000000000000}">
      <formula1>"Anna Keller,Ben Schneider,Clara Hoffmann,David Braun,Emma Fischer,Felix Wagner,Hannah Weber,Jonas Meyer"</formula1>
    </dataValidation>
    <dataValidation type="list" allowBlank="1" showInputMessage="1" showErrorMessage="1" sqref="B6:B100" xr:uid="{00000000-0002-0000-0300-000001000000}">
      <formula1>"Urlaub,Krankheit,Frei,Feiertag,Fortbildung,Sonstiges"</formula1>
    </dataValidation>
    <dataValidation type="list" allowBlank="1" showInputMessage="1" showErrorMessage="1" sqref="F6:F100" xr:uid="{00000000-0002-0000-0300-000002000000}">
      <formula1>"Ja,Nein,Offen"</formula1>
    </dataValidation>
  </dataValidations>
  <pageMargins left="0.3" right="0.3" top="0.6" bottom="0.6" header="0.3" footer="0.3"/>
  <pageSetup paperSize="9" fitToHeight="0" orientation="landscape"/>
  <headerFooter>
    <oddHeader>&amp;CAbwesenheiten</oddHeader>
    <oddFooter>&amp;L&amp;D &amp;T&amp;CArbeitsplan Excel&amp;RSeite &amp;P von &amp;N</oddFooter>
  </headerFooter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7"/>
  <sheetViews>
    <sheetView showGridLines="0" workbookViewId="0">
      <selection sqref="A1:D1"/>
    </sheetView>
  </sheetViews>
  <sheetFormatPr baseColWidth="10" defaultColWidth="9.140625" defaultRowHeight="18" customHeight="1" x14ac:dyDescent="0.25"/>
  <cols>
    <col min="1" max="1" width="18.7109375" customWidth="1"/>
    <col min="3" max="3" width="18.7109375" customWidth="1"/>
    <col min="5" max="5" width="18.7109375" customWidth="1"/>
    <col min="7" max="7" width="18.7109375" customWidth="1"/>
    <col min="9" max="9" width="18.7109375" customWidth="1"/>
    <col min="11" max="11" width="18.7109375" customWidth="1"/>
    <col min="13" max="13" width="18.7109375" customWidth="1"/>
    <col min="15" max="15" width="18.7109375" customWidth="1"/>
    <col min="17" max="17" width="18.7109375" customWidth="1"/>
    <col min="19" max="19" width="18.7109375" customWidth="1"/>
    <col min="21" max="21" width="18.7109375" customWidth="1"/>
  </cols>
  <sheetData>
    <row r="1" spans="1:21" ht="27.95" customHeight="1" x14ac:dyDescent="0.25">
      <c r="A1" s="21" t="s">
        <v>0</v>
      </c>
      <c r="B1" s="21"/>
      <c r="C1" s="21"/>
      <c r="D1" s="21"/>
    </row>
    <row r="2" spans="1:21" ht="18" customHeight="1" x14ac:dyDescent="0.25">
      <c r="A2" s="1" t="s">
        <v>1</v>
      </c>
    </row>
    <row r="5" spans="1:21" ht="30" customHeight="1" x14ac:dyDescent="0.25">
      <c r="A5" s="9" t="s">
        <v>2</v>
      </c>
      <c r="C5" s="9" t="s">
        <v>11</v>
      </c>
      <c r="E5" s="9" t="s">
        <v>18</v>
      </c>
      <c r="G5" s="9" t="s">
        <v>26</v>
      </c>
      <c r="I5" s="9" t="s">
        <v>30</v>
      </c>
      <c r="K5" s="9" t="s">
        <v>36</v>
      </c>
      <c r="M5" s="9" t="s">
        <v>41</v>
      </c>
      <c r="O5" s="9" t="s">
        <v>44</v>
      </c>
      <c r="Q5" s="9" t="s">
        <v>45</v>
      </c>
      <c r="S5" s="9" t="s">
        <v>58</v>
      </c>
      <c r="U5" s="9" t="s">
        <v>62</v>
      </c>
    </row>
    <row r="6" spans="1:21" ht="18" customHeight="1" x14ac:dyDescent="0.25">
      <c r="A6" s="15" t="s">
        <v>3</v>
      </c>
      <c r="C6" s="15" t="s">
        <v>12</v>
      </c>
      <c r="E6" s="15" t="s">
        <v>19</v>
      </c>
      <c r="G6" s="15" t="s">
        <v>27</v>
      </c>
      <c r="I6" s="15" t="s">
        <v>31</v>
      </c>
      <c r="K6" s="15" t="s">
        <v>37</v>
      </c>
      <c r="M6" s="15" t="s">
        <v>42</v>
      </c>
      <c r="O6" s="15" t="s">
        <v>42</v>
      </c>
      <c r="Q6" s="15" t="s">
        <v>46</v>
      </c>
      <c r="S6" s="15" t="s">
        <v>59</v>
      </c>
      <c r="U6" s="15" t="s">
        <v>63</v>
      </c>
    </row>
    <row r="7" spans="1:21" ht="18" customHeight="1" x14ac:dyDescent="0.25">
      <c r="A7" s="15" t="s">
        <v>4</v>
      </c>
      <c r="C7" s="15" t="s">
        <v>13</v>
      </c>
      <c r="E7" s="15" t="s">
        <v>20</v>
      </c>
      <c r="G7" s="15" t="s">
        <v>7</v>
      </c>
      <c r="I7" s="15" t="s">
        <v>32</v>
      </c>
      <c r="K7" s="15" t="s">
        <v>38</v>
      </c>
      <c r="M7" s="15" t="s">
        <v>43</v>
      </c>
      <c r="O7" s="15" t="s">
        <v>43</v>
      </c>
      <c r="Q7" s="15" t="s">
        <v>47</v>
      </c>
      <c r="S7" s="15" t="s">
        <v>60</v>
      </c>
      <c r="U7" s="15" t="s">
        <v>12</v>
      </c>
    </row>
    <row r="8" spans="1:21" ht="18" customHeight="1" x14ac:dyDescent="0.25">
      <c r="A8" s="15" t="s">
        <v>5</v>
      </c>
      <c r="C8" s="15" t="s">
        <v>14</v>
      </c>
      <c r="E8" s="15" t="s">
        <v>21</v>
      </c>
      <c r="G8" s="15" t="s">
        <v>28</v>
      </c>
      <c r="I8" s="15" t="s">
        <v>8</v>
      </c>
      <c r="K8" s="15" t="s">
        <v>39</v>
      </c>
      <c r="O8" s="15" t="s">
        <v>37</v>
      </c>
      <c r="Q8" s="15" t="s">
        <v>48</v>
      </c>
      <c r="S8" s="15" t="s">
        <v>61</v>
      </c>
      <c r="U8" s="15" t="s">
        <v>64</v>
      </c>
    </row>
    <row r="9" spans="1:21" ht="18" customHeight="1" x14ac:dyDescent="0.25">
      <c r="A9" s="15" t="s">
        <v>6</v>
      </c>
      <c r="C9" s="15" t="s">
        <v>15</v>
      </c>
      <c r="E9" s="15" t="s">
        <v>6</v>
      </c>
      <c r="G9" s="15" t="s">
        <v>14</v>
      </c>
      <c r="I9" s="15" t="s">
        <v>33</v>
      </c>
      <c r="K9" s="15" t="s">
        <v>40</v>
      </c>
      <c r="Q9" s="15" t="s">
        <v>49</v>
      </c>
      <c r="U9" s="15" t="s">
        <v>16</v>
      </c>
    </row>
    <row r="10" spans="1:21" ht="18" customHeight="1" x14ac:dyDescent="0.25">
      <c r="A10" s="15" t="s">
        <v>7</v>
      </c>
      <c r="C10" s="15" t="s">
        <v>16</v>
      </c>
      <c r="E10" s="15" t="s">
        <v>22</v>
      </c>
      <c r="G10" s="15" t="s">
        <v>29</v>
      </c>
      <c r="I10" s="15" t="s">
        <v>34</v>
      </c>
      <c r="Q10" s="15" t="s">
        <v>50</v>
      </c>
      <c r="U10" s="15" t="s">
        <v>15</v>
      </c>
    </row>
    <row r="11" spans="1:21" ht="18" customHeight="1" x14ac:dyDescent="0.25">
      <c r="A11" s="15" t="s">
        <v>8</v>
      </c>
      <c r="C11" s="15" t="s">
        <v>17</v>
      </c>
      <c r="E11" s="15" t="s">
        <v>23</v>
      </c>
      <c r="G11" s="15" t="s">
        <v>17</v>
      </c>
      <c r="I11" s="15" t="s">
        <v>35</v>
      </c>
      <c r="Q11" s="15" t="s">
        <v>51</v>
      </c>
    </row>
    <row r="12" spans="1:21" ht="18" customHeight="1" x14ac:dyDescent="0.25">
      <c r="A12" s="15" t="s">
        <v>9</v>
      </c>
      <c r="E12" s="15" t="s">
        <v>24</v>
      </c>
      <c r="Q12" s="15" t="s">
        <v>52</v>
      </c>
    </row>
    <row r="13" spans="1:21" ht="18" customHeight="1" x14ac:dyDescent="0.25">
      <c r="A13" s="15" t="s">
        <v>10</v>
      </c>
      <c r="E13" s="15" t="s">
        <v>25</v>
      </c>
      <c r="Q13" s="15" t="s">
        <v>53</v>
      </c>
    </row>
    <row r="14" spans="1:21" ht="18" customHeight="1" x14ac:dyDescent="0.25">
      <c r="Q14" s="15" t="s">
        <v>54</v>
      </c>
    </row>
    <row r="15" spans="1:21" ht="18" customHeight="1" x14ac:dyDescent="0.25">
      <c r="Q15" s="15" t="s">
        <v>55</v>
      </c>
    </row>
    <row r="16" spans="1:21" ht="18" customHeight="1" x14ac:dyDescent="0.25">
      <c r="Q16" s="15" t="s">
        <v>56</v>
      </c>
    </row>
    <row r="17" spans="17:17" ht="18" customHeight="1" x14ac:dyDescent="0.25">
      <c r="Q17" s="15" t="s">
        <v>57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Dashboard</vt:lpstr>
      <vt:lpstr>Arbeitsplan</vt:lpstr>
      <vt:lpstr>Mitarbeiter</vt:lpstr>
      <vt:lpstr>Abwesenheiten</vt:lpstr>
      <vt:lpstr>Listen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Arbeitsplan Excel Vorlage</dc:title>
  <dc:subject>Arbeitsplan, Schichtplanung, Stunden und Personalkosten</dc:subject>
  <dc:creator>OpenAI</dc:creator>
  <dc:description>Korrigierte Excel-Vorlage ohne Blattschutz und ohne Makros.</dc:description>
  <cp:lastModifiedBy>Sergio Jiménez Canales</cp:lastModifiedBy>
  <dcterms:created xsi:type="dcterms:W3CDTF">2026-04-28T11:15:46Z</dcterms:created>
  <dcterms:modified xsi:type="dcterms:W3CDTF">2026-04-28T13:27:48Z</dcterms:modified>
</cp:coreProperties>
</file>