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jahresplaner\"/>
    </mc:Choice>
  </mc:AlternateContent>
  <xr:revisionPtr revIDLastSave="0" documentId="13_ncr:1_{E97C1D59-81F9-4B24-B55A-C56A2A97FC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ahresplaner" sheetId="1" r:id="rId1"/>
  </sheets>
  <definedNames>
    <definedName name="_xlnm.Print_Area" localSheetId="0">Jahresplaner!$A$1:$AI$29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29" i="1" l="1"/>
  <c r="AH29" i="1"/>
  <c r="AG29" i="1"/>
  <c r="AF29" i="1"/>
  <c r="AE29" i="1"/>
  <c r="AD29" i="1"/>
  <c r="AC29" i="1"/>
  <c r="AB29" i="1"/>
  <c r="Z29" i="1"/>
  <c r="Y29" i="1"/>
  <c r="X29" i="1"/>
  <c r="W29" i="1"/>
  <c r="V29" i="1"/>
  <c r="U29" i="1"/>
  <c r="S29" i="1"/>
  <c r="Q29" i="1"/>
  <c r="P29" i="1"/>
  <c r="O29" i="1"/>
  <c r="N29" i="1"/>
  <c r="M29" i="1"/>
  <c r="L29" i="1"/>
  <c r="K29" i="1"/>
  <c r="J29" i="1"/>
  <c r="H29" i="1"/>
  <c r="G29" i="1"/>
  <c r="F29" i="1"/>
  <c r="E29" i="1"/>
  <c r="D29" i="1"/>
  <c r="C29" i="1"/>
  <c r="B29" i="1"/>
  <c r="A29" i="1"/>
  <c r="AI28" i="1"/>
  <c r="AH28" i="1"/>
  <c r="AG28" i="1"/>
  <c r="AB28" i="1"/>
  <c r="W28" i="1"/>
  <c r="T28" i="1"/>
  <c r="S28" i="1"/>
  <c r="Q28" i="1"/>
  <c r="N28" i="1"/>
  <c r="L28" i="1"/>
  <c r="J28" i="1"/>
  <c r="H28" i="1"/>
  <c r="G28" i="1"/>
  <c r="F28" i="1"/>
  <c r="E28" i="1"/>
  <c r="A28" i="1"/>
  <c r="AB27" i="1"/>
  <c r="S27" i="1"/>
  <c r="J27" i="1"/>
  <c r="A27" i="1"/>
  <c r="AB26" i="1"/>
  <c r="S26" i="1"/>
  <c r="J26" i="1"/>
  <c r="A26" i="1"/>
  <c r="AB25" i="1"/>
  <c r="S25" i="1"/>
  <c r="J25" i="1"/>
  <c r="A25" i="1"/>
  <c r="AF24" i="1"/>
  <c r="AC24" i="1"/>
  <c r="AB24" i="1"/>
  <c r="Y24" i="1"/>
  <c r="X24" i="1"/>
  <c r="W24" i="1"/>
  <c r="V24" i="1"/>
  <c r="U24" i="1"/>
  <c r="T24" i="1"/>
  <c r="S24" i="1"/>
  <c r="M24" i="1"/>
  <c r="L24" i="1"/>
  <c r="K24" i="1"/>
  <c r="J24" i="1"/>
  <c r="B24" i="1"/>
  <c r="A24" i="1"/>
  <c r="AI20" i="1"/>
  <c r="AH20" i="1"/>
  <c r="AG20" i="1"/>
  <c r="AF20" i="1"/>
  <c r="AE20" i="1"/>
  <c r="AD20" i="1"/>
  <c r="AB20" i="1"/>
  <c r="Z20" i="1"/>
  <c r="Y20" i="1"/>
  <c r="X20" i="1"/>
  <c r="W20" i="1"/>
  <c r="V20" i="1"/>
  <c r="U20" i="1"/>
  <c r="T20" i="1"/>
  <c r="S20" i="1"/>
  <c r="Q20" i="1"/>
  <c r="P20" i="1"/>
  <c r="O20" i="1"/>
  <c r="N20" i="1"/>
  <c r="M20" i="1"/>
  <c r="L20" i="1"/>
  <c r="K20" i="1"/>
  <c r="J20" i="1"/>
  <c r="H20" i="1"/>
  <c r="G20" i="1"/>
  <c r="F20" i="1"/>
  <c r="E20" i="1"/>
  <c r="D20" i="1"/>
  <c r="C20" i="1"/>
  <c r="B20" i="1"/>
  <c r="A20" i="1"/>
  <c r="AB19" i="1"/>
  <c r="Z19" i="1"/>
  <c r="Y19" i="1"/>
  <c r="S19" i="1"/>
  <c r="Q19" i="1"/>
  <c r="P19" i="1"/>
  <c r="O19" i="1"/>
  <c r="N19" i="1"/>
  <c r="M19" i="1"/>
  <c r="J19" i="1"/>
  <c r="A19" i="1"/>
  <c r="AB18" i="1"/>
  <c r="S18" i="1"/>
  <c r="J18" i="1"/>
  <c r="A18" i="1"/>
  <c r="AB17" i="1"/>
  <c r="S17" i="1"/>
  <c r="J17" i="1"/>
  <c r="A17" i="1"/>
  <c r="AB16" i="1"/>
  <c r="S16" i="1"/>
  <c r="J16" i="1"/>
  <c r="A16" i="1"/>
  <c r="AM15" i="1"/>
  <c r="AK15" i="1"/>
  <c r="AG15" i="1"/>
  <c r="AF15" i="1"/>
  <c r="AE15" i="1"/>
  <c r="AD15" i="1"/>
  <c r="AC15" i="1"/>
  <c r="AB15" i="1"/>
  <c r="Y15" i="1"/>
  <c r="V15" i="1"/>
  <c r="U15" i="1"/>
  <c r="T15" i="1"/>
  <c r="S15" i="1"/>
  <c r="J15" i="1"/>
  <c r="E15" i="1"/>
  <c r="D15" i="1"/>
  <c r="C15" i="1"/>
  <c r="B15" i="1"/>
  <c r="A15" i="1"/>
  <c r="AM14" i="1"/>
  <c r="AK14" i="1"/>
  <c r="AM13" i="1"/>
  <c r="AK13" i="1"/>
  <c r="AM12" i="1"/>
  <c r="AK12" i="1"/>
  <c r="AM11" i="1"/>
  <c r="AK11" i="1"/>
  <c r="AI11" i="1"/>
  <c r="AH11" i="1"/>
  <c r="AG11" i="1"/>
  <c r="AF11" i="1"/>
  <c r="AE11" i="1"/>
  <c r="AD11" i="1"/>
  <c r="AC11" i="1"/>
  <c r="AB11" i="1"/>
  <c r="Z11" i="1"/>
  <c r="Y11" i="1"/>
  <c r="X11" i="1"/>
  <c r="W11" i="1"/>
  <c r="V11" i="1"/>
  <c r="S11" i="1"/>
  <c r="Q11" i="1"/>
  <c r="P11" i="1"/>
  <c r="O11" i="1"/>
  <c r="N11" i="1"/>
  <c r="M11" i="1"/>
  <c r="L11" i="1"/>
  <c r="K11" i="1"/>
  <c r="J11" i="1"/>
  <c r="H11" i="1"/>
  <c r="G11" i="1"/>
  <c r="F11" i="1"/>
  <c r="E11" i="1"/>
  <c r="D11" i="1"/>
  <c r="C11" i="1"/>
  <c r="B11" i="1"/>
  <c r="A11" i="1"/>
  <c r="AM10" i="1"/>
  <c r="Q6" i="1" s="1"/>
  <c r="AK10" i="1"/>
  <c r="AI10" i="1"/>
  <c r="AH10" i="1"/>
  <c r="AG10" i="1"/>
  <c r="AB10" i="1"/>
  <c r="S10" i="1"/>
  <c r="Q10" i="1"/>
  <c r="O10" i="1"/>
  <c r="J10" i="1"/>
  <c r="H10" i="1"/>
  <c r="A10" i="1"/>
  <c r="AM9" i="1"/>
  <c r="AK9" i="1"/>
  <c r="AH9" i="1"/>
  <c r="AE9" i="1"/>
  <c r="AB9" i="1"/>
  <c r="S9" i="1"/>
  <c r="L9" i="1"/>
  <c r="J9" i="1"/>
  <c r="H9" i="1"/>
  <c r="C9" i="1"/>
  <c r="A9" i="1"/>
  <c r="AM8" i="1"/>
  <c r="AK8" i="1"/>
  <c r="AB8" i="1"/>
  <c r="X8" i="1"/>
  <c r="S8" i="1"/>
  <c r="J8" i="1"/>
  <c r="E8" i="1"/>
  <c r="B8" i="1"/>
  <c r="A8" i="1"/>
  <c r="AM7" i="1"/>
  <c r="AK7" i="1"/>
  <c r="AH7" i="1"/>
  <c r="AB7" i="1"/>
  <c r="U7" i="1"/>
  <c r="S7" i="1"/>
  <c r="Q7" i="1"/>
  <c r="L7" i="1"/>
  <c r="J7" i="1"/>
  <c r="A7" i="1"/>
  <c r="AM6" i="1"/>
  <c r="AK6" i="1"/>
  <c r="AG6" i="1"/>
  <c r="AD6" i="1"/>
  <c r="AC6" i="1"/>
  <c r="AB6" i="1"/>
  <c r="Y6" i="1"/>
  <c r="X6" i="1"/>
  <c r="W6" i="1"/>
  <c r="V6" i="1"/>
  <c r="U6" i="1"/>
  <c r="T6" i="1"/>
  <c r="S6" i="1"/>
  <c r="P6" i="1"/>
  <c r="O6" i="1"/>
  <c r="N6" i="1"/>
  <c r="M6" i="1"/>
  <c r="L6" i="1"/>
  <c r="K6" i="1"/>
  <c r="J6" i="1"/>
  <c r="E6" i="1"/>
  <c r="D6" i="1"/>
  <c r="C6" i="1"/>
  <c r="B6" i="1"/>
  <c r="A6" i="1"/>
  <c r="AM5" i="1"/>
  <c r="AK5" i="1"/>
  <c r="AM4" i="1"/>
  <c r="AK4" i="1"/>
  <c r="AM3" i="1"/>
  <c r="Z28" i="1" s="1"/>
  <c r="AK3" i="1"/>
  <c r="A1" i="1"/>
  <c r="AF8" i="1" l="1"/>
  <c r="W17" i="1"/>
  <c r="AF18" i="1"/>
  <c r="N24" i="1"/>
  <c r="W25" i="1"/>
  <c r="AF26" i="1"/>
  <c r="D7" i="1"/>
  <c r="Q9" i="1"/>
  <c r="B17" i="1"/>
  <c r="X17" i="1"/>
  <c r="K18" i="1"/>
  <c r="AG18" i="1"/>
  <c r="T19" i="1"/>
  <c r="AC20" i="1"/>
  <c r="O24" i="1"/>
  <c r="B25" i="1"/>
  <c r="X25" i="1"/>
  <c r="K26" i="1"/>
  <c r="AG26" i="1"/>
  <c r="T27" i="1"/>
  <c r="AC28" i="1"/>
  <c r="E26" i="1"/>
  <c r="P9" i="1"/>
  <c r="N16" i="1"/>
  <c r="K8" i="1"/>
  <c r="B10" i="1"/>
  <c r="H15" i="1"/>
  <c r="L8" i="1"/>
  <c r="AH8" i="1"/>
  <c r="C10" i="1"/>
  <c r="Y10" i="1"/>
  <c r="P16" i="1"/>
  <c r="C17" i="1"/>
  <c r="Y17" i="1"/>
  <c r="L18" i="1"/>
  <c r="AH18" i="1"/>
  <c r="U19" i="1"/>
  <c r="P24" i="1"/>
  <c r="C25" i="1"/>
  <c r="Y25" i="1"/>
  <c r="L26" i="1"/>
  <c r="AH26" i="1"/>
  <c r="U27" i="1"/>
  <c r="AD28" i="1"/>
  <c r="N27" i="1"/>
  <c r="G15" i="1"/>
  <c r="Z7" i="1"/>
  <c r="AG8" i="1"/>
  <c r="X10" i="1"/>
  <c r="O16" i="1"/>
  <c r="E7" i="1"/>
  <c r="F7" i="1"/>
  <c r="AC7" i="1"/>
  <c r="M8" i="1"/>
  <c r="AI8" i="1"/>
  <c r="T9" i="1"/>
  <c r="D10" i="1"/>
  <c r="Z10" i="1"/>
  <c r="K15" i="1"/>
  <c r="Q16" i="1"/>
  <c r="D17" i="1"/>
  <c r="Z17" i="1"/>
  <c r="M18" i="1"/>
  <c r="AI18" i="1"/>
  <c r="V19" i="1"/>
  <c r="Q24" i="1"/>
  <c r="D25" i="1"/>
  <c r="Z25" i="1"/>
  <c r="M26" i="1"/>
  <c r="AI26" i="1"/>
  <c r="V27" i="1"/>
  <c r="AE28" i="1"/>
  <c r="E18" i="1"/>
  <c r="W7" i="1"/>
  <c r="C7" i="1"/>
  <c r="AD7" i="1"/>
  <c r="L15" i="1"/>
  <c r="AH15" i="1"/>
  <c r="E17" i="1"/>
  <c r="N18" i="1"/>
  <c r="W19" i="1"/>
  <c r="E25" i="1"/>
  <c r="N26" i="1"/>
  <c r="W27" i="1"/>
  <c r="AF28" i="1"/>
  <c r="Y7" i="1"/>
  <c r="W10" i="1"/>
  <c r="G7" i="1"/>
  <c r="N8" i="1"/>
  <c r="U9" i="1"/>
  <c r="E10" i="1"/>
  <c r="H7" i="1"/>
  <c r="AE7" i="1"/>
  <c r="O8" i="1"/>
  <c r="V9" i="1"/>
  <c r="F10" i="1"/>
  <c r="AC10" i="1"/>
  <c r="M15" i="1"/>
  <c r="AI15" i="1"/>
  <c r="T16" i="1"/>
  <c r="F17" i="1"/>
  <c r="AC17" i="1"/>
  <c r="O18" i="1"/>
  <c r="B19" i="1"/>
  <c r="X19" i="1"/>
  <c r="F25" i="1"/>
  <c r="AC25" i="1"/>
  <c r="O26" i="1"/>
  <c r="B27" i="1"/>
  <c r="X27" i="1"/>
  <c r="K28" i="1"/>
  <c r="T29" i="1"/>
  <c r="AF16" i="1"/>
  <c r="AF7" i="1"/>
  <c r="P8" i="1"/>
  <c r="W9" i="1"/>
  <c r="G10" i="1"/>
  <c r="AD10" i="1"/>
  <c r="N15" i="1"/>
  <c r="U16" i="1"/>
  <c r="G17" i="1"/>
  <c r="AD17" i="1"/>
  <c r="P18" i="1"/>
  <c r="C19" i="1"/>
  <c r="G25" i="1"/>
  <c r="AD25" i="1"/>
  <c r="P26" i="1"/>
  <c r="C27" i="1"/>
  <c r="Y27" i="1"/>
  <c r="Z6" i="1"/>
  <c r="K7" i="1"/>
  <c r="AG7" i="1"/>
  <c r="Q8" i="1"/>
  <c r="B9" i="1"/>
  <c r="X9" i="1"/>
  <c r="AE10" i="1"/>
  <c r="O15" i="1"/>
  <c r="V16" i="1"/>
  <c r="H17" i="1"/>
  <c r="AE17" i="1"/>
  <c r="Q18" i="1"/>
  <c r="D19" i="1"/>
  <c r="H25" i="1"/>
  <c r="AE25" i="1"/>
  <c r="Q26" i="1"/>
  <c r="D27" i="1"/>
  <c r="Z27" i="1"/>
  <c r="M28" i="1"/>
  <c r="AF25" i="1"/>
  <c r="M7" i="1"/>
  <c r="D9" i="1"/>
  <c r="K10" i="1"/>
  <c r="Q15" i="1"/>
  <c r="B16" i="1"/>
  <c r="X16" i="1"/>
  <c r="K17" i="1"/>
  <c r="AG17" i="1"/>
  <c r="T18" i="1"/>
  <c r="F19" i="1"/>
  <c r="AC19" i="1"/>
  <c r="K25" i="1"/>
  <c r="AG25" i="1"/>
  <c r="T26" i="1"/>
  <c r="F27" i="1"/>
  <c r="AC27" i="1"/>
  <c r="O28" i="1"/>
  <c r="W16" i="1"/>
  <c r="E27" i="1"/>
  <c r="F6" i="1"/>
  <c r="T8" i="1"/>
  <c r="Z9" i="1"/>
  <c r="G6" i="1"/>
  <c r="N7" i="1"/>
  <c r="U8" i="1"/>
  <c r="E9" i="1"/>
  <c r="L10" i="1"/>
  <c r="C16" i="1"/>
  <c r="Y16" i="1"/>
  <c r="L17" i="1"/>
  <c r="AH17" i="1"/>
  <c r="U18" i="1"/>
  <c r="G19" i="1"/>
  <c r="AD19" i="1"/>
  <c r="C24" i="1"/>
  <c r="L25" i="1"/>
  <c r="AH25" i="1"/>
  <c r="U26" i="1"/>
  <c r="G27" i="1"/>
  <c r="AD27" i="1"/>
  <c r="P28" i="1"/>
  <c r="O7" i="1"/>
  <c r="M10" i="1"/>
  <c r="D16" i="1"/>
  <c r="Z16" i="1"/>
  <c r="M17" i="1"/>
  <c r="AI17" i="1"/>
  <c r="V18" i="1"/>
  <c r="H19" i="1"/>
  <c r="AE19" i="1"/>
  <c r="D24" i="1"/>
  <c r="Z24" i="1"/>
  <c r="M25" i="1"/>
  <c r="AI25" i="1"/>
  <c r="V26" i="1"/>
  <c r="H27" i="1"/>
  <c r="AE27" i="1"/>
  <c r="Y9" i="1"/>
  <c r="AF10" i="1"/>
  <c r="P15" i="1"/>
  <c r="AF17" i="1"/>
  <c r="E19" i="1"/>
  <c r="AI7" i="1"/>
  <c r="H6" i="1"/>
  <c r="AE6" i="1"/>
  <c r="V8" i="1"/>
  <c r="F9" i="1"/>
  <c r="AC9" i="1"/>
  <c r="T11" i="1"/>
  <c r="AF6" i="1"/>
  <c r="P7" i="1"/>
  <c r="W8" i="1"/>
  <c r="G9" i="1"/>
  <c r="AD9" i="1"/>
  <c r="N10" i="1"/>
  <c r="U11" i="1"/>
  <c r="E16" i="1"/>
  <c r="N17" i="1"/>
  <c r="W18" i="1"/>
  <c r="AF19" i="1"/>
  <c r="E24" i="1"/>
  <c r="N25" i="1"/>
  <c r="W26" i="1"/>
  <c r="AF27" i="1"/>
  <c r="F16" i="1"/>
  <c r="AC16" i="1"/>
  <c r="O17" i="1"/>
  <c r="B18" i="1"/>
  <c r="X18" i="1"/>
  <c r="K19" i="1"/>
  <c r="AG19" i="1"/>
  <c r="F24" i="1"/>
  <c r="O25" i="1"/>
  <c r="B26" i="1"/>
  <c r="X26" i="1"/>
  <c r="K27" i="1"/>
  <c r="AG27" i="1"/>
  <c r="AH6" i="1"/>
  <c r="C8" i="1"/>
  <c r="Y8" i="1"/>
  <c r="AF9" i="1"/>
  <c r="P10" i="1"/>
  <c r="W15" i="1"/>
  <c r="G16" i="1"/>
  <c r="AD16" i="1"/>
  <c r="P17" i="1"/>
  <c r="C18" i="1"/>
  <c r="Y18" i="1"/>
  <c r="L19" i="1"/>
  <c r="AH19" i="1"/>
  <c r="G24" i="1"/>
  <c r="AD24" i="1"/>
  <c r="P25" i="1"/>
  <c r="C26" i="1"/>
  <c r="Y26" i="1"/>
  <c r="L27" i="1"/>
  <c r="AH27" i="1"/>
  <c r="U28" i="1"/>
  <c r="AI6" i="1"/>
  <c r="T7" i="1"/>
  <c r="D8" i="1"/>
  <c r="Z8" i="1"/>
  <c r="K9" i="1"/>
  <c r="AG9" i="1"/>
  <c r="X15" i="1"/>
  <c r="H16" i="1"/>
  <c r="AE16" i="1"/>
  <c r="Q17" i="1"/>
  <c r="D18" i="1"/>
  <c r="Z18" i="1"/>
  <c r="AI19" i="1"/>
  <c r="H24" i="1"/>
  <c r="AE24" i="1"/>
  <c r="Q25" i="1"/>
  <c r="D26" i="1"/>
  <c r="Z26" i="1"/>
  <c r="M27" i="1"/>
  <c r="AI27" i="1"/>
  <c r="V28" i="1"/>
  <c r="V7" i="1"/>
  <c r="F8" i="1"/>
  <c r="AC8" i="1"/>
  <c r="M9" i="1"/>
  <c r="AI9" i="1"/>
  <c r="T10" i="1"/>
  <c r="Z15" i="1"/>
  <c r="K16" i="1"/>
  <c r="AG16" i="1"/>
  <c r="T17" i="1"/>
  <c r="F18" i="1"/>
  <c r="AC18" i="1"/>
  <c r="AG24" i="1"/>
  <c r="T25" i="1"/>
  <c r="F26" i="1"/>
  <c r="AC26" i="1"/>
  <c r="O27" i="1"/>
  <c r="B28" i="1"/>
  <c r="X28" i="1"/>
  <c r="G8" i="1"/>
  <c r="AD8" i="1"/>
  <c r="N9" i="1"/>
  <c r="U10" i="1"/>
  <c r="L16" i="1"/>
  <c r="AH16" i="1"/>
  <c r="U17" i="1"/>
  <c r="G18" i="1"/>
  <c r="AD18" i="1"/>
  <c r="AH24" i="1"/>
  <c r="U25" i="1"/>
  <c r="G26" i="1"/>
  <c r="AD26" i="1"/>
  <c r="P27" i="1"/>
  <c r="C28" i="1"/>
  <c r="Y28" i="1"/>
  <c r="B7" i="1"/>
  <c r="X7" i="1"/>
  <c r="H8" i="1"/>
  <c r="AE8" i="1"/>
  <c r="O9" i="1"/>
  <c r="V10" i="1"/>
  <c r="F15" i="1"/>
  <c r="M16" i="1"/>
  <c r="AI16" i="1"/>
  <c r="V17" i="1"/>
  <c r="H18" i="1"/>
  <c r="AE18" i="1"/>
  <c r="AI24" i="1"/>
  <c r="V25" i="1"/>
  <c r="H26" i="1"/>
  <c r="AE26" i="1"/>
  <c r="Q27" i="1"/>
  <c r="D28" i="1"/>
</calcChain>
</file>

<file path=xl/sharedStrings.xml><?xml version="1.0" encoding="utf-8"?>
<sst xmlns="http://schemas.openxmlformats.org/spreadsheetml/2006/main" count="139" uniqueCount="37">
  <si>
    <t>Beispieltermine (bearbeitbar)</t>
  </si>
  <si>
    <t>Jahr</t>
  </si>
  <si>
    <t>Beispieltermine rechts bearbeiten – der Kalender aktualisiert sich automatisch.</t>
  </si>
  <si>
    <t>Datum</t>
  </si>
  <si>
    <t>Termin</t>
  </si>
  <si>
    <t>Neujahr</t>
  </si>
  <si>
    <t>Januar</t>
  </si>
  <si>
    <t>Februar</t>
  </si>
  <si>
    <t>März</t>
  </si>
  <si>
    <t>April</t>
  </si>
  <si>
    <t>Review</t>
  </si>
  <si>
    <t>KW</t>
  </si>
  <si>
    <t>Mo</t>
  </si>
  <si>
    <t>Di</t>
  </si>
  <si>
    <t>Mi</t>
  </si>
  <si>
    <t>Do</t>
  </si>
  <si>
    <t>Fr</t>
  </si>
  <si>
    <t>Sa</t>
  </si>
  <si>
    <t>So</t>
  </si>
  <si>
    <t>Kick-off</t>
  </si>
  <si>
    <t>Workshop</t>
  </si>
  <si>
    <t>Feiertag</t>
  </si>
  <si>
    <t>Call</t>
  </si>
  <si>
    <t>Urlaub</t>
  </si>
  <si>
    <t>Strategie</t>
  </si>
  <si>
    <t>Messe</t>
  </si>
  <si>
    <t>Mai</t>
  </si>
  <si>
    <t>Juni</t>
  </si>
  <si>
    <t>Juli</t>
  </si>
  <si>
    <t>August</t>
  </si>
  <si>
    <t>Budget</t>
  </si>
  <si>
    <t>Hl. Abend</t>
  </si>
  <si>
    <t>Jahresende</t>
  </si>
  <si>
    <t>September</t>
  </si>
  <si>
    <t>Oktober</t>
  </si>
  <si>
    <t>November</t>
  </si>
  <si>
    <t>Dezember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</si>
</sst>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9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0"/>
      <color rgb="FF1F415A"/>
      <name val="Calibri"/>
    </font>
    <font>
      <sz val="9"/>
      <color rgb="FF1F415A"/>
      <name val="Calibri"/>
    </font>
    <font>
      <b/>
      <sz val="10"/>
      <color rgb="FFFFFFFF"/>
      <name val="Calibri"/>
    </font>
    <font>
      <b/>
      <sz val="9"/>
      <color rgb="FFFFFFFF"/>
      <name val="Calibri"/>
    </font>
    <font>
      <b/>
      <sz val="11"/>
      <color rgb="FFFFFFFF"/>
      <name val="Calibri"/>
    </font>
    <font>
      <sz val="9"/>
      <color rgb="FF000000"/>
      <name val="Calibri"/>
    </font>
    <font>
      <b/>
      <sz val="9"/>
      <color theme="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D9E8EA"/>
      </patternFill>
    </fill>
    <fill>
      <patternFill patternType="solid">
        <fgColor rgb="FFF7FAFB"/>
      </patternFill>
    </fill>
    <fill>
      <patternFill patternType="solid">
        <fgColor rgb="FFEAF4F6"/>
      </patternFill>
    </fill>
    <fill>
      <patternFill patternType="solid">
        <fgColor rgb="FFF1F5F6"/>
      </patternFill>
    </fill>
    <fill>
      <patternFill patternType="solid">
        <fgColor rgb="FFE8F0F2"/>
      </patternFill>
    </fill>
  </fills>
  <borders count="16">
    <border>
      <left/>
      <right/>
      <top/>
      <bottom/>
      <diagonal/>
    </border>
    <border>
      <left style="medium">
        <color rgb="FF1F415A"/>
      </left>
      <right style="thin">
        <color rgb="FF9CB2B6"/>
      </right>
      <top style="medium">
        <color rgb="FF1F415A"/>
      </top>
      <bottom style="medium">
        <color rgb="FF1F415A"/>
      </bottom>
      <diagonal/>
    </border>
    <border>
      <left style="thin">
        <color rgb="FF9CB2B6"/>
      </left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 style="thin">
        <color rgb="FF9CB2B6"/>
      </left>
      <right style="thin">
        <color rgb="FF9CB2B6"/>
      </right>
      <top style="thin">
        <color rgb="FF9CB2B6"/>
      </top>
      <bottom style="thin">
        <color rgb="FF9CB2B6"/>
      </bottom>
      <diagonal/>
    </border>
    <border>
      <left style="thin">
        <color rgb="FFC9D3D6"/>
      </left>
      <right style="thin">
        <color rgb="FFC9D3D6"/>
      </right>
      <top style="thin">
        <color rgb="FFC9D3D6"/>
      </top>
      <bottom style="thin">
        <color rgb="FFC9D3D6"/>
      </bottom>
      <diagonal/>
    </border>
    <border>
      <left style="thin">
        <color rgb="FFC9D3D6"/>
      </left>
      <right style="thin">
        <color rgb="FFC9D3D6"/>
      </right>
      <top style="thin">
        <color rgb="FFC9D3D6"/>
      </top>
      <bottom style="medium">
        <color rgb="FF1F415A"/>
      </bottom>
      <diagonal/>
    </border>
    <border>
      <left style="medium">
        <color rgb="FF1F415A"/>
      </left>
      <right style="thin">
        <color rgb="FF9CB2B6"/>
      </right>
      <top style="thin">
        <color rgb="FF9CB2B6"/>
      </top>
      <bottom style="thin">
        <color rgb="FF9CB2B6"/>
      </bottom>
      <diagonal/>
    </border>
    <border>
      <left style="thin">
        <color rgb="FF9CB2B6"/>
      </left>
      <right style="medium">
        <color rgb="FF1F415A"/>
      </right>
      <top style="thin">
        <color rgb="FF9CB2B6"/>
      </top>
      <bottom style="thin">
        <color rgb="FF9CB2B6"/>
      </bottom>
      <diagonal/>
    </border>
    <border>
      <left style="medium">
        <color rgb="FF1F415A"/>
      </left>
      <right style="thin">
        <color rgb="FF9CB2B6"/>
      </right>
      <top style="thin">
        <color rgb="FFC9D3D6"/>
      </top>
      <bottom style="thin">
        <color rgb="FFC9D3D6"/>
      </bottom>
      <diagonal/>
    </border>
    <border>
      <left style="thin">
        <color rgb="FFC9D3D6"/>
      </left>
      <right style="medium">
        <color rgb="FF1F415A"/>
      </right>
      <top style="thin">
        <color rgb="FFC9D3D6"/>
      </top>
      <bottom style="thin">
        <color rgb="FFC9D3D6"/>
      </bottom>
      <diagonal/>
    </border>
    <border>
      <left style="medium">
        <color rgb="FF1F415A"/>
      </left>
      <right style="thin">
        <color rgb="FF9CB2B6"/>
      </right>
      <top style="thin">
        <color rgb="FFC9D3D6"/>
      </top>
      <bottom style="medium">
        <color rgb="FF1F415A"/>
      </bottom>
      <diagonal/>
    </border>
    <border>
      <left style="thin">
        <color rgb="FFC9D3D6"/>
      </left>
      <right style="medium">
        <color rgb="FF1F415A"/>
      </right>
      <top style="thin">
        <color rgb="FFC9D3D6"/>
      </top>
      <bottom style="medium">
        <color rgb="FF1F415A"/>
      </bottom>
      <diagonal/>
    </border>
    <border>
      <left style="medium">
        <color rgb="FF1F415A"/>
      </left>
      <right style="medium">
        <color rgb="FF1F415A"/>
      </right>
      <top style="medium">
        <color rgb="FF1F415A"/>
      </top>
      <bottom/>
      <diagonal/>
    </border>
    <border>
      <left/>
      <right/>
      <top style="medium">
        <color rgb="FF1F415A"/>
      </top>
      <bottom/>
      <diagonal/>
    </border>
    <border>
      <left/>
      <right style="medium">
        <color rgb="FF1F415A"/>
      </right>
      <top style="medium">
        <color rgb="FF1F415A"/>
      </top>
      <bottom/>
      <diagonal/>
    </border>
    <border>
      <left/>
      <right style="thin">
        <color rgb="FF9CB2B6"/>
      </right>
      <top style="thin">
        <color rgb="FF9CB2B6"/>
      </top>
      <bottom style="thin">
        <color rgb="FF9CB2B6"/>
      </bottom>
      <diagonal/>
    </border>
  </borders>
  <cellStyleXfs count="1">
    <xf numFmtId="0" fontId="0" fillId="0" borderId="0"/>
  </cellStyleXfs>
  <cellXfs count="31">
    <xf numFmtId="0" fontId="0" fillId="0" borderId="0" xfId="0"/>
    <xf numFmtId="1" fontId="2" fillId="4" borderId="2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left" vertical="center"/>
    </xf>
    <xf numFmtId="0" fontId="0" fillId="6" borderId="3" xfId="0" applyFill="1" applyBorder="1" applyAlignment="1">
      <alignment horizontal="left" vertical="center"/>
    </xf>
    <xf numFmtId="0" fontId="5" fillId="3" borderId="6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top" wrapText="1"/>
    </xf>
    <xf numFmtId="0" fontId="7" fillId="8" borderId="4" xfId="0" applyFont="1" applyFill="1" applyBorder="1" applyAlignment="1">
      <alignment horizontal="left" vertical="top" wrapText="1"/>
    </xf>
    <xf numFmtId="0" fontId="7" fillId="8" borderId="9" xfId="0" applyFont="1" applyFill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8" borderId="5" xfId="0" applyFont="1" applyFill="1" applyBorder="1" applyAlignment="1">
      <alignment horizontal="left" vertical="top" wrapText="1"/>
    </xf>
    <xf numFmtId="0" fontId="7" fillId="8" borderId="11" xfId="0" applyFont="1" applyFill="1" applyBorder="1" applyAlignment="1">
      <alignment horizontal="left" vertical="top" wrapText="1"/>
    </xf>
    <xf numFmtId="164" fontId="0" fillId="5" borderId="3" xfId="0" applyNumberFormat="1" applyFill="1" applyBorder="1"/>
    <xf numFmtId="0" fontId="0" fillId="5" borderId="3" xfId="0" applyFill="1" applyBorder="1"/>
    <xf numFmtId="164" fontId="0" fillId="6" borderId="3" xfId="0" applyNumberFormat="1" applyFill="1" applyBorder="1"/>
    <xf numFmtId="0" fontId="0" fillId="6" borderId="3" xfId="0" applyFill="1" applyBorder="1"/>
    <xf numFmtId="49" fontId="0" fillId="5" borderId="3" xfId="0" applyNumberFormat="1" applyFill="1" applyBorder="1" applyAlignment="1">
      <alignment horizontal="center" vertical="center"/>
    </xf>
    <xf numFmtId="49" fontId="0" fillId="6" borderId="3" xfId="0" applyNumberFormat="1" applyFill="1" applyBorder="1" applyAlignment="1">
      <alignment horizontal="center" vertical="center"/>
    </xf>
    <xf numFmtId="1" fontId="7" fillId="7" borderId="8" xfId="0" applyNumberFormat="1" applyFont="1" applyFill="1" applyBorder="1" applyAlignment="1">
      <alignment horizontal="center" vertical="center" wrapText="1"/>
    </xf>
    <xf numFmtId="1" fontId="7" fillId="7" borderId="10" xfId="0" applyNumberFormat="1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0" fillId="0" borderId="13" xfId="0" applyBorder="1"/>
    <xf numFmtId="0" fontId="0" fillId="0" borderId="14" xfId="0" applyBorder="1"/>
    <xf numFmtId="0" fontId="4" fillId="2" borderId="3" xfId="0" applyFont="1" applyFill="1" applyBorder="1" applyAlignment="1">
      <alignment horizontal="center" vertical="center"/>
    </xf>
    <xf numFmtId="0" fontId="0" fillId="0" borderId="15" xfId="0" applyBorder="1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3" fillId="5" borderId="0" xfId="0" applyFont="1" applyFill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12">
    <dxf>
      <fill>
        <patternFill>
          <bgColor rgb="FFEAF4F6"/>
        </patternFill>
      </fill>
    </dxf>
    <dxf>
      <fill>
        <patternFill>
          <bgColor rgb="FFEAF4F6"/>
        </patternFill>
      </fill>
    </dxf>
    <dxf>
      <fill>
        <patternFill>
          <bgColor rgb="FFEAF4F6"/>
        </patternFill>
      </fill>
    </dxf>
    <dxf>
      <fill>
        <patternFill>
          <bgColor rgb="FFEAF4F6"/>
        </patternFill>
      </fill>
    </dxf>
    <dxf>
      <fill>
        <patternFill>
          <bgColor rgb="FFEAF4F6"/>
        </patternFill>
      </fill>
    </dxf>
    <dxf>
      <fill>
        <patternFill>
          <bgColor rgb="FFEAF4F6"/>
        </patternFill>
      </fill>
    </dxf>
    <dxf>
      <fill>
        <patternFill>
          <bgColor rgb="FFEAF4F6"/>
        </patternFill>
      </fill>
    </dxf>
    <dxf>
      <fill>
        <patternFill>
          <bgColor rgb="FFEAF4F6"/>
        </patternFill>
      </fill>
    </dxf>
    <dxf>
      <fill>
        <patternFill>
          <bgColor rgb="FFEAF4F6"/>
        </patternFill>
      </fill>
    </dxf>
    <dxf>
      <fill>
        <patternFill>
          <bgColor rgb="FFEAF4F6"/>
        </patternFill>
      </fill>
    </dxf>
    <dxf>
      <fill>
        <patternFill>
          <bgColor rgb="FFEAF4F6"/>
        </patternFill>
      </fill>
    </dxf>
    <dxf>
      <fill>
        <patternFill>
          <bgColor rgb="FFEAF4F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29"/>
  <sheetViews>
    <sheetView showGridLines="0" tabSelected="1" workbookViewId="0">
      <selection activeCell="AQ24" sqref="AQ24"/>
    </sheetView>
  </sheetViews>
  <sheetFormatPr baseColWidth="10" defaultColWidth="9.140625" defaultRowHeight="15" x14ac:dyDescent="0.25"/>
  <cols>
    <col min="1" max="1" width="5.140625" customWidth="1"/>
    <col min="2" max="8" width="5.85546875" customWidth="1"/>
    <col min="9" max="9" width="2" customWidth="1"/>
    <col min="10" max="10" width="5.140625" customWidth="1"/>
    <col min="11" max="17" width="5.85546875" customWidth="1"/>
    <col min="18" max="18" width="2" customWidth="1"/>
    <col min="19" max="19" width="5.140625" customWidth="1"/>
    <col min="20" max="26" width="5.85546875" customWidth="1"/>
    <col min="27" max="27" width="2" customWidth="1"/>
    <col min="28" max="28" width="5.140625" customWidth="1"/>
    <col min="29" max="35" width="5.85546875" customWidth="1"/>
    <col min="37" max="37" width="12" customWidth="1"/>
    <col min="38" max="38" width="18" customWidth="1"/>
    <col min="39" max="39" width="12" hidden="1" customWidth="1"/>
    <col min="40" max="40" width="18" hidden="1" customWidth="1"/>
  </cols>
  <sheetData>
    <row r="1" spans="1:40" ht="24" customHeight="1" x14ac:dyDescent="0.25">
      <c r="A1" s="27" t="str">
        <f>"Jahresplaner "&amp;B2</f>
        <v>Jahresplaner 2026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K1" s="25" t="s">
        <v>0</v>
      </c>
      <c r="AL1" s="26"/>
    </row>
    <row r="2" spans="1:40" ht="21" customHeight="1" x14ac:dyDescent="0.25">
      <c r="A2" s="30" t="s">
        <v>1</v>
      </c>
      <c r="B2" s="1">
        <v>2026</v>
      </c>
      <c r="D2" s="29" t="s">
        <v>2</v>
      </c>
      <c r="E2" s="28"/>
      <c r="F2" s="28"/>
      <c r="G2" s="28"/>
      <c r="H2" s="28"/>
      <c r="I2" s="28"/>
      <c r="J2" s="28"/>
      <c r="K2" s="28"/>
      <c r="L2" s="28"/>
      <c r="M2" s="28"/>
      <c r="N2" s="28"/>
      <c r="AK2" s="2" t="s">
        <v>3</v>
      </c>
      <c r="AL2" s="2" t="s">
        <v>4</v>
      </c>
    </row>
    <row r="3" spans="1:40" ht="8.1" customHeight="1" x14ac:dyDescent="0.25">
      <c r="AK3" s="18" t="str">
        <f>RIGHT("0"&amp;DAY(DATE($B$2,1,1)),2)&amp;"."&amp;RIGHT("0"&amp;MONTH(DATE($B$2,1,1)),2)&amp;"."&amp;YEAR(DATE($B$2,1,1))</f>
        <v>01.01.2026</v>
      </c>
      <c r="AL3" s="3" t="s">
        <v>5</v>
      </c>
      <c r="AM3" s="14">
        <f>DATE($B$2,1,1)</f>
        <v>46023</v>
      </c>
      <c r="AN3" s="15" t="s">
        <v>5</v>
      </c>
    </row>
    <row r="4" spans="1:40" ht="20.100000000000001" customHeight="1" x14ac:dyDescent="0.25">
      <c r="A4" s="22" t="s">
        <v>6</v>
      </c>
      <c r="B4" s="23"/>
      <c r="C4" s="23"/>
      <c r="D4" s="23"/>
      <c r="E4" s="23"/>
      <c r="F4" s="23"/>
      <c r="G4" s="23"/>
      <c r="H4" s="24"/>
      <c r="J4" s="22" t="s">
        <v>7</v>
      </c>
      <c r="K4" s="23"/>
      <c r="L4" s="23"/>
      <c r="M4" s="23"/>
      <c r="N4" s="23"/>
      <c r="O4" s="23"/>
      <c r="P4" s="23"/>
      <c r="Q4" s="24"/>
      <c r="S4" s="22" t="s">
        <v>8</v>
      </c>
      <c r="T4" s="23"/>
      <c r="U4" s="23"/>
      <c r="V4" s="23"/>
      <c r="W4" s="23"/>
      <c r="X4" s="23"/>
      <c r="Y4" s="23"/>
      <c r="Z4" s="24"/>
      <c r="AB4" s="22" t="s">
        <v>9</v>
      </c>
      <c r="AC4" s="23"/>
      <c r="AD4" s="23"/>
      <c r="AE4" s="23"/>
      <c r="AF4" s="23"/>
      <c r="AG4" s="23"/>
      <c r="AH4" s="23"/>
      <c r="AI4" s="24"/>
      <c r="AK4" s="19" t="str">
        <f>RIGHT("0"&amp;DAY(DATE($B$2,2,14)),2)&amp;"."&amp;RIGHT("0"&amp;MONTH(DATE($B$2,2,14)),2)&amp;"."&amp;YEAR(DATE($B$2,2,14))</f>
        <v>14.02.2026</v>
      </c>
      <c r="AL4" s="4" t="s">
        <v>10</v>
      </c>
      <c r="AM4" s="16">
        <f>DATE($B$2,2,14)</f>
        <v>46067</v>
      </c>
      <c r="AN4" s="17" t="s">
        <v>10</v>
      </c>
    </row>
    <row r="5" spans="1:40" ht="18" customHeight="1" x14ac:dyDescent="0.25">
      <c r="A5" s="5" t="s">
        <v>11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6" t="s">
        <v>17</v>
      </c>
      <c r="H5" s="7" t="s">
        <v>18</v>
      </c>
      <c r="J5" s="5" t="s">
        <v>11</v>
      </c>
      <c r="K5" s="2" t="s">
        <v>12</v>
      </c>
      <c r="L5" s="2" t="s">
        <v>13</v>
      </c>
      <c r="M5" s="2" t="s">
        <v>14</v>
      </c>
      <c r="N5" s="2" t="s">
        <v>15</v>
      </c>
      <c r="O5" s="2" t="s">
        <v>16</v>
      </c>
      <c r="P5" s="6" t="s">
        <v>17</v>
      </c>
      <c r="Q5" s="7" t="s">
        <v>18</v>
      </c>
      <c r="S5" s="5" t="s">
        <v>11</v>
      </c>
      <c r="T5" s="2" t="s">
        <v>12</v>
      </c>
      <c r="U5" s="2" t="s">
        <v>13</v>
      </c>
      <c r="V5" s="2" t="s">
        <v>14</v>
      </c>
      <c r="W5" s="2" t="s">
        <v>15</v>
      </c>
      <c r="X5" s="2" t="s">
        <v>16</v>
      </c>
      <c r="Y5" s="6" t="s">
        <v>17</v>
      </c>
      <c r="Z5" s="7" t="s">
        <v>18</v>
      </c>
      <c r="AB5" s="5" t="s">
        <v>11</v>
      </c>
      <c r="AC5" s="2" t="s">
        <v>12</v>
      </c>
      <c r="AD5" s="2" t="s">
        <v>13</v>
      </c>
      <c r="AE5" s="2" t="s">
        <v>14</v>
      </c>
      <c r="AF5" s="2" t="s">
        <v>15</v>
      </c>
      <c r="AG5" s="2" t="s">
        <v>16</v>
      </c>
      <c r="AH5" s="6" t="s">
        <v>17</v>
      </c>
      <c r="AI5" s="7" t="s">
        <v>18</v>
      </c>
      <c r="AK5" s="18" t="str">
        <f>RIGHT("0"&amp;DAY(DATE($B$2,3,8)),2)&amp;"."&amp;RIGHT("0"&amp;MONTH(DATE($B$2,3,8)),2)&amp;"."&amp;YEAR(DATE($B$2,3,8))</f>
        <v>08.03.2026</v>
      </c>
      <c r="AL5" s="3" t="s">
        <v>19</v>
      </c>
      <c r="AM5" s="14">
        <f>DATE($B$2,3,8)</f>
        <v>46089</v>
      </c>
      <c r="AN5" s="15" t="s">
        <v>19</v>
      </c>
    </row>
    <row r="6" spans="1:40" ht="29.1" customHeight="1" x14ac:dyDescent="0.25">
      <c r="A6" s="20">
        <f>IF(AND(MONTH(DATE($B$2,1,1)-WEEKDAY(DATE($B$2,1,1),2)+1+7*0)&lt;&gt;1,MONTH((DATE($B$2,1,1)-WEEKDAY(DATE($B$2,1,1),2)+1+7*0)+6)&lt;&gt;1),"",INT(((DATE($B$2,1,1)-WEEKDAY(DATE($B$2,1,1),2)+1+7*0)-(DATE(YEAR((DATE($B$2,1,1)-WEEKDAY(DATE($B$2,1,1),2)+1+7*0)-WEEKDAY((DATE($B$2,1,1)-WEEKDAY(DATE($B$2,1,1),2)+1+7*0),2)+4),1,4)-WEEKDAY(DATE(YEAR((DATE($B$2,1,1)-WEEKDAY(DATE($B$2,1,1),2)+1+7*0)-WEEKDAY((DATE($B$2,1,1)-WEEKDAY(DATE($B$2,1,1),2)+1+7*0),2)+4),1,4),2)+1))/7)+1)</f>
        <v>1</v>
      </c>
      <c r="B6" s="8" t="str">
        <f>IF(MONTH(DATE($B$2,1,1)-WEEKDAY(DATE($B$2,1,1),2)+1+7*0+0)&lt;&gt;1,"",DAY(DATE($B$2,1,1)-WEEKDAY(DATE($B$2,1,1),2)+1+7*0+0)&amp;IFERROR(CHAR(10)&amp;VLOOKUP(DATE($B$2,1,1)-WEEKDAY(DATE($B$2,1,1),2)+1+7*0+0,$AM$3:$AN$15,2,FALSE),""))</f>
        <v/>
      </c>
      <c r="C6" s="8" t="str">
        <f>IF(MONTH(DATE($B$2,1,1)-WEEKDAY(DATE($B$2,1,1),2)+1+7*0+1)&lt;&gt;1,"",DAY(DATE($B$2,1,1)-WEEKDAY(DATE($B$2,1,1),2)+1+7*0+1)&amp;IFERROR(CHAR(10)&amp;VLOOKUP(DATE($B$2,1,1)-WEEKDAY(DATE($B$2,1,1),2)+1+7*0+1,$AM$3:$AN$15,2,FALSE),""))</f>
        <v/>
      </c>
      <c r="D6" s="8" t="str">
        <f>IF(MONTH(DATE($B$2,1,1)-WEEKDAY(DATE($B$2,1,1),2)+1+7*0+2)&lt;&gt;1,"",DAY(DATE($B$2,1,1)-WEEKDAY(DATE($B$2,1,1),2)+1+7*0+2)&amp;IFERROR(CHAR(10)&amp;VLOOKUP(DATE($B$2,1,1)-WEEKDAY(DATE($B$2,1,1),2)+1+7*0+2,$AM$3:$AN$15,2,FALSE),""))</f>
        <v/>
      </c>
      <c r="E6" s="8" t="str">
        <f>IF(MONTH(DATE($B$2,1,1)-WEEKDAY(DATE($B$2,1,1),2)+1+7*0+3)&lt;&gt;1,"",DAY(DATE($B$2,1,1)-WEEKDAY(DATE($B$2,1,1),2)+1+7*0+3)&amp;IFERROR(CHAR(10)&amp;VLOOKUP(DATE($B$2,1,1)-WEEKDAY(DATE($B$2,1,1),2)+1+7*0+3,$AM$3:$AN$15,2,FALSE),""))</f>
        <v>1
Neujahr</v>
      </c>
      <c r="F6" s="8" t="str">
        <f>IF(MONTH(DATE($B$2,1,1)-WEEKDAY(DATE($B$2,1,1),2)+1+7*0+4)&lt;&gt;1,"",DAY(DATE($B$2,1,1)-WEEKDAY(DATE($B$2,1,1),2)+1+7*0+4)&amp;IFERROR(CHAR(10)&amp;VLOOKUP(DATE($B$2,1,1)-WEEKDAY(DATE($B$2,1,1),2)+1+7*0+4,$AM$3:$AN$15,2,FALSE),""))</f>
        <v>2</v>
      </c>
      <c r="G6" s="9" t="str">
        <f>IF(MONTH(DATE($B$2,1,1)-WEEKDAY(DATE($B$2,1,1),2)+1+7*0+5)&lt;&gt;1,"",DAY(DATE($B$2,1,1)-WEEKDAY(DATE($B$2,1,1),2)+1+7*0+5)&amp;IFERROR(CHAR(10)&amp;VLOOKUP(DATE($B$2,1,1)-WEEKDAY(DATE($B$2,1,1),2)+1+7*0+5,$AM$3:$AN$15,2,FALSE),""))</f>
        <v>3</v>
      </c>
      <c r="H6" s="10" t="str">
        <f>IF(MONTH(DATE($B$2,1,1)-WEEKDAY(DATE($B$2,1,1),2)+1+7*0+6)&lt;&gt;1,"",DAY(DATE($B$2,1,1)-WEEKDAY(DATE($B$2,1,1),2)+1+7*0+6)&amp;IFERROR(CHAR(10)&amp;VLOOKUP(DATE($B$2,1,1)-WEEKDAY(DATE($B$2,1,1),2)+1+7*0+6,$AM$3:$AN$15,2,FALSE),""))</f>
        <v>4</v>
      </c>
      <c r="J6" s="20">
        <f>IF(AND(MONTH(DATE($B$2,2,1)-WEEKDAY(DATE($B$2,2,1),2)+1+7*0)&lt;&gt;2,MONTH((DATE($B$2,2,1)-WEEKDAY(DATE($B$2,2,1),2)+1+7*0)+6)&lt;&gt;2),"",INT(((DATE($B$2,2,1)-WEEKDAY(DATE($B$2,2,1),2)+1+7*0)-(DATE(YEAR((DATE($B$2,2,1)-WEEKDAY(DATE($B$2,2,1),2)+1+7*0)-WEEKDAY((DATE($B$2,2,1)-WEEKDAY(DATE($B$2,2,1),2)+1+7*0),2)+4),1,4)-WEEKDAY(DATE(YEAR((DATE($B$2,2,1)-WEEKDAY(DATE($B$2,2,1),2)+1+7*0)-WEEKDAY((DATE($B$2,2,1)-WEEKDAY(DATE($B$2,2,1),2)+1+7*0),2)+4),1,4),2)+1))/7)+1)</f>
        <v>5</v>
      </c>
      <c r="K6" s="8" t="str">
        <f>IF(MONTH(DATE($B$2,2,1)-WEEKDAY(DATE($B$2,2,1),2)+1+7*0+0)&lt;&gt;2,"",DAY(DATE($B$2,2,1)-WEEKDAY(DATE($B$2,2,1),2)+1+7*0+0)&amp;IFERROR(CHAR(10)&amp;VLOOKUP(DATE($B$2,2,1)-WEEKDAY(DATE($B$2,2,1),2)+1+7*0+0,$AM$3:$AN$15,2,FALSE),""))</f>
        <v/>
      </c>
      <c r="L6" s="8" t="str">
        <f>IF(MONTH(DATE($B$2,2,1)-WEEKDAY(DATE($B$2,2,1),2)+1+7*0+1)&lt;&gt;2,"",DAY(DATE($B$2,2,1)-WEEKDAY(DATE($B$2,2,1),2)+1+7*0+1)&amp;IFERROR(CHAR(10)&amp;VLOOKUP(DATE($B$2,2,1)-WEEKDAY(DATE($B$2,2,1),2)+1+7*0+1,$AM$3:$AN$15,2,FALSE),""))</f>
        <v/>
      </c>
      <c r="M6" s="8" t="str">
        <f>IF(MONTH(DATE($B$2,2,1)-WEEKDAY(DATE($B$2,2,1),2)+1+7*0+2)&lt;&gt;2,"",DAY(DATE($B$2,2,1)-WEEKDAY(DATE($B$2,2,1),2)+1+7*0+2)&amp;IFERROR(CHAR(10)&amp;VLOOKUP(DATE($B$2,2,1)-WEEKDAY(DATE($B$2,2,1),2)+1+7*0+2,$AM$3:$AN$15,2,FALSE),""))</f>
        <v/>
      </c>
      <c r="N6" s="8" t="str">
        <f>IF(MONTH(DATE($B$2,2,1)-WEEKDAY(DATE($B$2,2,1),2)+1+7*0+3)&lt;&gt;2,"",DAY(DATE($B$2,2,1)-WEEKDAY(DATE($B$2,2,1),2)+1+7*0+3)&amp;IFERROR(CHAR(10)&amp;VLOOKUP(DATE($B$2,2,1)-WEEKDAY(DATE($B$2,2,1),2)+1+7*0+3,$AM$3:$AN$15,2,FALSE),""))</f>
        <v/>
      </c>
      <c r="O6" s="8" t="str">
        <f>IF(MONTH(DATE($B$2,2,1)-WEEKDAY(DATE($B$2,2,1),2)+1+7*0+4)&lt;&gt;2,"",DAY(DATE($B$2,2,1)-WEEKDAY(DATE($B$2,2,1),2)+1+7*0+4)&amp;IFERROR(CHAR(10)&amp;VLOOKUP(DATE($B$2,2,1)-WEEKDAY(DATE($B$2,2,1),2)+1+7*0+4,$AM$3:$AN$15,2,FALSE),""))</f>
        <v/>
      </c>
      <c r="P6" s="9" t="str">
        <f>IF(MONTH(DATE($B$2,2,1)-WEEKDAY(DATE($B$2,2,1),2)+1+7*0+5)&lt;&gt;2,"",DAY(DATE($B$2,2,1)-WEEKDAY(DATE($B$2,2,1),2)+1+7*0+5)&amp;IFERROR(CHAR(10)&amp;VLOOKUP(DATE($B$2,2,1)-WEEKDAY(DATE($B$2,2,1),2)+1+7*0+5,$AM$3:$AN$15,2,FALSE),""))</f>
        <v/>
      </c>
      <c r="Q6" s="10" t="str">
        <f>IF(MONTH(DATE($B$2,2,1)-WEEKDAY(DATE($B$2,2,1),2)+1+7*0+6)&lt;&gt;2,"",DAY(DATE($B$2,2,1)-WEEKDAY(DATE($B$2,2,1),2)+1+7*0+6)&amp;IFERROR(CHAR(10)&amp;VLOOKUP(DATE($B$2,2,1)-WEEKDAY(DATE($B$2,2,1),2)+1+7*0+6,$AM$3:$AN$15,2,FALSE),""))</f>
        <v>1</v>
      </c>
      <c r="S6" s="20">
        <f>IF(AND(MONTH(DATE($B$2,3,1)-WEEKDAY(DATE($B$2,3,1),2)+1+7*0)&lt;&gt;3,MONTH((DATE($B$2,3,1)-WEEKDAY(DATE($B$2,3,1),2)+1+7*0)+6)&lt;&gt;3),"",INT(((DATE($B$2,3,1)-WEEKDAY(DATE($B$2,3,1),2)+1+7*0)-(DATE(YEAR((DATE($B$2,3,1)-WEEKDAY(DATE($B$2,3,1),2)+1+7*0)-WEEKDAY((DATE($B$2,3,1)-WEEKDAY(DATE($B$2,3,1),2)+1+7*0),2)+4),1,4)-WEEKDAY(DATE(YEAR((DATE($B$2,3,1)-WEEKDAY(DATE($B$2,3,1),2)+1+7*0)-WEEKDAY((DATE($B$2,3,1)-WEEKDAY(DATE($B$2,3,1),2)+1+7*0),2)+4),1,4),2)+1))/7)+1)</f>
        <v>9</v>
      </c>
      <c r="T6" s="8" t="str">
        <f>IF(MONTH(DATE($B$2,3,1)-WEEKDAY(DATE($B$2,3,1),2)+1+7*0+0)&lt;&gt;3,"",DAY(DATE($B$2,3,1)-WEEKDAY(DATE($B$2,3,1),2)+1+7*0+0)&amp;IFERROR(CHAR(10)&amp;VLOOKUP(DATE($B$2,3,1)-WEEKDAY(DATE($B$2,3,1),2)+1+7*0+0,$AM$3:$AN$15,2,FALSE),""))</f>
        <v/>
      </c>
      <c r="U6" s="8" t="str">
        <f>IF(MONTH(DATE($B$2,3,1)-WEEKDAY(DATE($B$2,3,1),2)+1+7*0+1)&lt;&gt;3,"",DAY(DATE($B$2,3,1)-WEEKDAY(DATE($B$2,3,1),2)+1+7*0+1)&amp;IFERROR(CHAR(10)&amp;VLOOKUP(DATE($B$2,3,1)-WEEKDAY(DATE($B$2,3,1),2)+1+7*0+1,$AM$3:$AN$15,2,FALSE),""))</f>
        <v/>
      </c>
      <c r="V6" s="8" t="str">
        <f>IF(MONTH(DATE($B$2,3,1)-WEEKDAY(DATE($B$2,3,1),2)+1+7*0+2)&lt;&gt;3,"",DAY(DATE($B$2,3,1)-WEEKDAY(DATE($B$2,3,1),2)+1+7*0+2)&amp;IFERROR(CHAR(10)&amp;VLOOKUP(DATE($B$2,3,1)-WEEKDAY(DATE($B$2,3,1),2)+1+7*0+2,$AM$3:$AN$15,2,FALSE),""))</f>
        <v/>
      </c>
      <c r="W6" s="8" t="str">
        <f>IF(MONTH(DATE($B$2,3,1)-WEEKDAY(DATE($B$2,3,1),2)+1+7*0+3)&lt;&gt;3,"",DAY(DATE($B$2,3,1)-WEEKDAY(DATE($B$2,3,1),2)+1+7*0+3)&amp;IFERROR(CHAR(10)&amp;VLOOKUP(DATE($B$2,3,1)-WEEKDAY(DATE($B$2,3,1),2)+1+7*0+3,$AM$3:$AN$15,2,FALSE),""))</f>
        <v/>
      </c>
      <c r="X6" s="8" t="str">
        <f>IF(MONTH(DATE($B$2,3,1)-WEEKDAY(DATE($B$2,3,1),2)+1+7*0+4)&lt;&gt;3,"",DAY(DATE($B$2,3,1)-WEEKDAY(DATE($B$2,3,1),2)+1+7*0+4)&amp;IFERROR(CHAR(10)&amp;VLOOKUP(DATE($B$2,3,1)-WEEKDAY(DATE($B$2,3,1),2)+1+7*0+4,$AM$3:$AN$15,2,FALSE),""))</f>
        <v/>
      </c>
      <c r="Y6" s="9" t="str">
        <f>IF(MONTH(DATE($B$2,3,1)-WEEKDAY(DATE($B$2,3,1),2)+1+7*0+5)&lt;&gt;3,"",DAY(DATE($B$2,3,1)-WEEKDAY(DATE($B$2,3,1),2)+1+7*0+5)&amp;IFERROR(CHAR(10)&amp;VLOOKUP(DATE($B$2,3,1)-WEEKDAY(DATE($B$2,3,1),2)+1+7*0+5,$AM$3:$AN$15,2,FALSE),""))</f>
        <v/>
      </c>
      <c r="Z6" s="10" t="str">
        <f>IF(MONTH(DATE($B$2,3,1)-WEEKDAY(DATE($B$2,3,1),2)+1+7*0+6)&lt;&gt;3,"",DAY(DATE($B$2,3,1)-WEEKDAY(DATE($B$2,3,1),2)+1+7*0+6)&amp;IFERROR(CHAR(10)&amp;VLOOKUP(DATE($B$2,3,1)-WEEKDAY(DATE($B$2,3,1),2)+1+7*0+6,$AM$3:$AN$15,2,FALSE),""))</f>
        <v>1</v>
      </c>
      <c r="AB6" s="20">
        <f>IF(AND(MONTH(DATE($B$2,4,1)-WEEKDAY(DATE($B$2,4,1),2)+1+7*0)&lt;&gt;4,MONTH((DATE($B$2,4,1)-WEEKDAY(DATE($B$2,4,1),2)+1+7*0)+6)&lt;&gt;4),"",INT(((DATE($B$2,4,1)-WEEKDAY(DATE($B$2,4,1),2)+1+7*0)-(DATE(YEAR((DATE($B$2,4,1)-WEEKDAY(DATE($B$2,4,1),2)+1+7*0)-WEEKDAY((DATE($B$2,4,1)-WEEKDAY(DATE($B$2,4,1),2)+1+7*0),2)+4),1,4)-WEEKDAY(DATE(YEAR((DATE($B$2,4,1)-WEEKDAY(DATE($B$2,4,1),2)+1+7*0)-WEEKDAY((DATE($B$2,4,1)-WEEKDAY(DATE($B$2,4,1),2)+1+7*0),2)+4),1,4),2)+1))/7)+1)</f>
        <v>14</v>
      </c>
      <c r="AC6" s="8" t="str">
        <f>IF(MONTH(DATE($B$2,4,1)-WEEKDAY(DATE($B$2,4,1),2)+1+7*0+0)&lt;&gt;4,"",DAY(DATE($B$2,4,1)-WEEKDAY(DATE($B$2,4,1),2)+1+7*0+0)&amp;IFERROR(CHAR(10)&amp;VLOOKUP(DATE($B$2,4,1)-WEEKDAY(DATE($B$2,4,1),2)+1+7*0+0,$AM$3:$AN$15,2,FALSE),""))</f>
        <v/>
      </c>
      <c r="AD6" s="8" t="str">
        <f>IF(MONTH(DATE($B$2,4,1)-WEEKDAY(DATE($B$2,4,1),2)+1+7*0+1)&lt;&gt;4,"",DAY(DATE($B$2,4,1)-WEEKDAY(DATE($B$2,4,1),2)+1+7*0+1)&amp;IFERROR(CHAR(10)&amp;VLOOKUP(DATE($B$2,4,1)-WEEKDAY(DATE($B$2,4,1),2)+1+7*0+1,$AM$3:$AN$15,2,FALSE),""))</f>
        <v/>
      </c>
      <c r="AE6" s="8" t="str">
        <f>IF(MONTH(DATE($B$2,4,1)-WEEKDAY(DATE($B$2,4,1),2)+1+7*0+2)&lt;&gt;4,"",DAY(DATE($B$2,4,1)-WEEKDAY(DATE($B$2,4,1),2)+1+7*0+2)&amp;IFERROR(CHAR(10)&amp;VLOOKUP(DATE($B$2,4,1)-WEEKDAY(DATE($B$2,4,1),2)+1+7*0+2,$AM$3:$AN$15,2,FALSE),""))</f>
        <v>1</v>
      </c>
      <c r="AF6" s="8" t="str">
        <f>IF(MONTH(DATE($B$2,4,1)-WEEKDAY(DATE($B$2,4,1),2)+1+7*0+3)&lt;&gt;4,"",DAY(DATE($B$2,4,1)-WEEKDAY(DATE($B$2,4,1),2)+1+7*0+3)&amp;IFERROR(CHAR(10)&amp;VLOOKUP(DATE($B$2,4,1)-WEEKDAY(DATE($B$2,4,1),2)+1+7*0+3,$AM$3:$AN$15,2,FALSE),""))</f>
        <v>2</v>
      </c>
      <c r="AG6" s="8" t="str">
        <f>IF(MONTH(DATE($B$2,4,1)-WEEKDAY(DATE($B$2,4,1),2)+1+7*0+4)&lt;&gt;4,"",DAY(DATE($B$2,4,1)-WEEKDAY(DATE($B$2,4,1),2)+1+7*0+4)&amp;IFERROR(CHAR(10)&amp;VLOOKUP(DATE($B$2,4,1)-WEEKDAY(DATE($B$2,4,1),2)+1+7*0+4,$AM$3:$AN$15,2,FALSE),""))</f>
        <v>3</v>
      </c>
      <c r="AH6" s="9" t="str">
        <f>IF(MONTH(DATE($B$2,4,1)-WEEKDAY(DATE($B$2,4,1),2)+1+7*0+5)&lt;&gt;4,"",DAY(DATE($B$2,4,1)-WEEKDAY(DATE($B$2,4,1),2)+1+7*0+5)&amp;IFERROR(CHAR(10)&amp;VLOOKUP(DATE($B$2,4,1)-WEEKDAY(DATE($B$2,4,1),2)+1+7*0+5,$AM$3:$AN$15,2,FALSE),""))</f>
        <v>4</v>
      </c>
      <c r="AI6" s="10" t="str">
        <f>IF(MONTH(DATE($B$2,4,1)-WEEKDAY(DATE($B$2,4,1),2)+1+7*0+6)&lt;&gt;4,"",DAY(DATE($B$2,4,1)-WEEKDAY(DATE($B$2,4,1),2)+1+7*0+6)&amp;IFERROR(CHAR(10)&amp;VLOOKUP(DATE($B$2,4,1)-WEEKDAY(DATE($B$2,4,1),2)+1+7*0+6,$AM$3:$AN$15,2,FALSE),""))</f>
        <v>5</v>
      </c>
      <c r="AK6" s="19" t="str">
        <f>RIGHT("0"&amp;DAY(DATE($B$2,4,17)),2)&amp;"."&amp;RIGHT("0"&amp;MONTH(DATE($B$2,4,17)),2)&amp;"."&amp;YEAR(DATE($B$2,4,17))</f>
        <v>17.04.2026</v>
      </c>
      <c r="AL6" s="4" t="s">
        <v>20</v>
      </c>
      <c r="AM6" s="16">
        <f>DATE($B$2,4,17)</f>
        <v>46129</v>
      </c>
      <c r="AN6" s="17" t="s">
        <v>20</v>
      </c>
    </row>
    <row r="7" spans="1:40" ht="29.1" customHeight="1" x14ac:dyDescent="0.25">
      <c r="A7" s="20">
        <f>IF(AND(MONTH(DATE($B$2,1,1)-WEEKDAY(DATE($B$2,1,1),2)+1+7*1)&lt;&gt;1,MONTH((DATE($B$2,1,1)-WEEKDAY(DATE($B$2,1,1),2)+1+7*1)+6)&lt;&gt;1),"",INT(((DATE($B$2,1,1)-WEEKDAY(DATE($B$2,1,1),2)+1+7*1)-(DATE(YEAR((DATE($B$2,1,1)-WEEKDAY(DATE($B$2,1,1),2)+1+7*1)-WEEKDAY((DATE($B$2,1,1)-WEEKDAY(DATE($B$2,1,1),2)+1+7*1),2)+4),1,4)-WEEKDAY(DATE(YEAR((DATE($B$2,1,1)-WEEKDAY(DATE($B$2,1,1),2)+1+7*1)-WEEKDAY((DATE($B$2,1,1)-WEEKDAY(DATE($B$2,1,1),2)+1+7*1),2)+4),1,4),2)+1))/7)+1)</f>
        <v>2</v>
      </c>
      <c r="B7" s="8" t="str">
        <f>IF(MONTH(DATE($B$2,1,1)-WEEKDAY(DATE($B$2,1,1),2)+1+7*1+0)&lt;&gt;1,"",DAY(DATE($B$2,1,1)-WEEKDAY(DATE($B$2,1,1),2)+1+7*1+0)&amp;IFERROR(CHAR(10)&amp;VLOOKUP(DATE($B$2,1,1)-WEEKDAY(DATE($B$2,1,1),2)+1+7*1+0,$AM$3:$AN$15,2,FALSE),""))</f>
        <v>5</v>
      </c>
      <c r="C7" s="8" t="str">
        <f>IF(MONTH(DATE($B$2,1,1)-WEEKDAY(DATE($B$2,1,1),2)+1+7*1+1)&lt;&gt;1,"",DAY(DATE($B$2,1,1)-WEEKDAY(DATE($B$2,1,1),2)+1+7*1+1)&amp;IFERROR(CHAR(10)&amp;VLOOKUP(DATE($B$2,1,1)-WEEKDAY(DATE($B$2,1,1),2)+1+7*1+1,$AM$3:$AN$15,2,FALSE),""))</f>
        <v>6</v>
      </c>
      <c r="D7" s="8" t="str">
        <f>IF(MONTH(DATE($B$2,1,1)-WEEKDAY(DATE($B$2,1,1),2)+1+7*1+2)&lt;&gt;1,"",DAY(DATE($B$2,1,1)-WEEKDAY(DATE($B$2,1,1),2)+1+7*1+2)&amp;IFERROR(CHAR(10)&amp;VLOOKUP(DATE($B$2,1,1)-WEEKDAY(DATE($B$2,1,1),2)+1+7*1+2,$AM$3:$AN$15,2,FALSE),""))</f>
        <v>7</v>
      </c>
      <c r="E7" s="8" t="str">
        <f>IF(MONTH(DATE($B$2,1,1)-WEEKDAY(DATE($B$2,1,1),2)+1+7*1+3)&lt;&gt;1,"",DAY(DATE($B$2,1,1)-WEEKDAY(DATE($B$2,1,1),2)+1+7*1+3)&amp;IFERROR(CHAR(10)&amp;VLOOKUP(DATE($B$2,1,1)-WEEKDAY(DATE($B$2,1,1),2)+1+7*1+3,$AM$3:$AN$15,2,FALSE),""))</f>
        <v>8</v>
      </c>
      <c r="F7" s="8" t="str">
        <f>IF(MONTH(DATE($B$2,1,1)-WEEKDAY(DATE($B$2,1,1),2)+1+7*1+4)&lt;&gt;1,"",DAY(DATE($B$2,1,1)-WEEKDAY(DATE($B$2,1,1),2)+1+7*1+4)&amp;IFERROR(CHAR(10)&amp;VLOOKUP(DATE($B$2,1,1)-WEEKDAY(DATE($B$2,1,1),2)+1+7*1+4,$AM$3:$AN$15,2,FALSE),""))</f>
        <v>9</v>
      </c>
      <c r="G7" s="9" t="str">
        <f>IF(MONTH(DATE($B$2,1,1)-WEEKDAY(DATE($B$2,1,1),2)+1+7*1+5)&lt;&gt;1,"",DAY(DATE($B$2,1,1)-WEEKDAY(DATE($B$2,1,1),2)+1+7*1+5)&amp;IFERROR(CHAR(10)&amp;VLOOKUP(DATE($B$2,1,1)-WEEKDAY(DATE($B$2,1,1),2)+1+7*1+5,$AM$3:$AN$15,2,FALSE),""))</f>
        <v>10</v>
      </c>
      <c r="H7" s="10" t="str">
        <f>IF(MONTH(DATE($B$2,1,1)-WEEKDAY(DATE($B$2,1,1),2)+1+7*1+6)&lt;&gt;1,"",DAY(DATE($B$2,1,1)-WEEKDAY(DATE($B$2,1,1),2)+1+7*1+6)&amp;IFERROR(CHAR(10)&amp;VLOOKUP(DATE($B$2,1,1)-WEEKDAY(DATE($B$2,1,1),2)+1+7*1+6,$AM$3:$AN$15,2,FALSE),""))</f>
        <v>11</v>
      </c>
      <c r="J7" s="20">
        <f>IF(AND(MONTH(DATE($B$2,2,1)-WEEKDAY(DATE($B$2,2,1),2)+1+7*1)&lt;&gt;2,MONTH((DATE($B$2,2,1)-WEEKDAY(DATE($B$2,2,1),2)+1+7*1)+6)&lt;&gt;2),"",INT(((DATE($B$2,2,1)-WEEKDAY(DATE($B$2,2,1),2)+1+7*1)-(DATE(YEAR((DATE($B$2,2,1)-WEEKDAY(DATE($B$2,2,1),2)+1+7*1)-WEEKDAY((DATE($B$2,2,1)-WEEKDAY(DATE($B$2,2,1),2)+1+7*1),2)+4),1,4)-WEEKDAY(DATE(YEAR((DATE($B$2,2,1)-WEEKDAY(DATE($B$2,2,1),2)+1+7*1)-WEEKDAY((DATE($B$2,2,1)-WEEKDAY(DATE($B$2,2,1),2)+1+7*1),2)+4),1,4),2)+1))/7)+1)</f>
        <v>6</v>
      </c>
      <c r="K7" s="8" t="str">
        <f>IF(MONTH(DATE($B$2,2,1)-WEEKDAY(DATE($B$2,2,1),2)+1+7*1+0)&lt;&gt;2,"",DAY(DATE($B$2,2,1)-WEEKDAY(DATE($B$2,2,1),2)+1+7*1+0)&amp;IFERROR(CHAR(10)&amp;VLOOKUP(DATE($B$2,2,1)-WEEKDAY(DATE($B$2,2,1),2)+1+7*1+0,$AM$3:$AN$15,2,FALSE),""))</f>
        <v>2</v>
      </c>
      <c r="L7" s="8" t="str">
        <f>IF(MONTH(DATE($B$2,2,1)-WEEKDAY(DATE($B$2,2,1),2)+1+7*1+1)&lt;&gt;2,"",DAY(DATE($B$2,2,1)-WEEKDAY(DATE($B$2,2,1),2)+1+7*1+1)&amp;IFERROR(CHAR(10)&amp;VLOOKUP(DATE($B$2,2,1)-WEEKDAY(DATE($B$2,2,1),2)+1+7*1+1,$AM$3:$AN$15,2,FALSE),""))</f>
        <v>3</v>
      </c>
      <c r="M7" s="8" t="str">
        <f>IF(MONTH(DATE($B$2,2,1)-WEEKDAY(DATE($B$2,2,1),2)+1+7*1+2)&lt;&gt;2,"",DAY(DATE($B$2,2,1)-WEEKDAY(DATE($B$2,2,1),2)+1+7*1+2)&amp;IFERROR(CHAR(10)&amp;VLOOKUP(DATE($B$2,2,1)-WEEKDAY(DATE($B$2,2,1),2)+1+7*1+2,$AM$3:$AN$15,2,FALSE),""))</f>
        <v>4</v>
      </c>
      <c r="N7" s="8" t="str">
        <f>IF(MONTH(DATE($B$2,2,1)-WEEKDAY(DATE($B$2,2,1),2)+1+7*1+3)&lt;&gt;2,"",DAY(DATE($B$2,2,1)-WEEKDAY(DATE($B$2,2,1),2)+1+7*1+3)&amp;IFERROR(CHAR(10)&amp;VLOOKUP(DATE($B$2,2,1)-WEEKDAY(DATE($B$2,2,1),2)+1+7*1+3,$AM$3:$AN$15,2,FALSE),""))</f>
        <v>5</v>
      </c>
      <c r="O7" s="8" t="str">
        <f>IF(MONTH(DATE($B$2,2,1)-WEEKDAY(DATE($B$2,2,1),2)+1+7*1+4)&lt;&gt;2,"",DAY(DATE($B$2,2,1)-WEEKDAY(DATE($B$2,2,1),2)+1+7*1+4)&amp;IFERROR(CHAR(10)&amp;VLOOKUP(DATE($B$2,2,1)-WEEKDAY(DATE($B$2,2,1),2)+1+7*1+4,$AM$3:$AN$15,2,FALSE),""))</f>
        <v>6</v>
      </c>
      <c r="P7" s="9" t="str">
        <f>IF(MONTH(DATE($B$2,2,1)-WEEKDAY(DATE($B$2,2,1),2)+1+7*1+5)&lt;&gt;2,"",DAY(DATE($B$2,2,1)-WEEKDAY(DATE($B$2,2,1),2)+1+7*1+5)&amp;IFERROR(CHAR(10)&amp;VLOOKUP(DATE($B$2,2,1)-WEEKDAY(DATE($B$2,2,1),2)+1+7*1+5,$AM$3:$AN$15,2,FALSE),""))</f>
        <v>7</v>
      </c>
      <c r="Q7" s="10" t="str">
        <f>IF(MONTH(DATE($B$2,2,1)-WEEKDAY(DATE($B$2,2,1),2)+1+7*1+6)&lt;&gt;2,"",DAY(DATE($B$2,2,1)-WEEKDAY(DATE($B$2,2,1),2)+1+7*1+6)&amp;IFERROR(CHAR(10)&amp;VLOOKUP(DATE($B$2,2,1)-WEEKDAY(DATE($B$2,2,1),2)+1+7*1+6,$AM$3:$AN$15,2,FALSE),""))</f>
        <v>8</v>
      </c>
      <c r="S7" s="20">
        <f>IF(AND(MONTH(DATE($B$2,3,1)-WEEKDAY(DATE($B$2,3,1),2)+1+7*1)&lt;&gt;3,MONTH((DATE($B$2,3,1)-WEEKDAY(DATE($B$2,3,1),2)+1+7*1)+6)&lt;&gt;3),"",INT(((DATE($B$2,3,1)-WEEKDAY(DATE($B$2,3,1),2)+1+7*1)-(DATE(YEAR((DATE($B$2,3,1)-WEEKDAY(DATE($B$2,3,1),2)+1+7*1)-WEEKDAY((DATE($B$2,3,1)-WEEKDAY(DATE($B$2,3,1),2)+1+7*1),2)+4),1,4)-WEEKDAY(DATE(YEAR((DATE($B$2,3,1)-WEEKDAY(DATE($B$2,3,1),2)+1+7*1)-WEEKDAY((DATE($B$2,3,1)-WEEKDAY(DATE($B$2,3,1),2)+1+7*1),2)+4),1,4),2)+1))/7)+1)</f>
        <v>10</v>
      </c>
      <c r="T7" s="8" t="str">
        <f>IF(MONTH(DATE($B$2,3,1)-WEEKDAY(DATE($B$2,3,1),2)+1+7*1+0)&lt;&gt;3,"",DAY(DATE($B$2,3,1)-WEEKDAY(DATE($B$2,3,1),2)+1+7*1+0)&amp;IFERROR(CHAR(10)&amp;VLOOKUP(DATE($B$2,3,1)-WEEKDAY(DATE($B$2,3,1),2)+1+7*1+0,$AM$3:$AN$15,2,FALSE),""))</f>
        <v>2</v>
      </c>
      <c r="U7" s="8" t="str">
        <f>IF(MONTH(DATE($B$2,3,1)-WEEKDAY(DATE($B$2,3,1),2)+1+7*1+1)&lt;&gt;3,"",DAY(DATE($B$2,3,1)-WEEKDAY(DATE($B$2,3,1),2)+1+7*1+1)&amp;IFERROR(CHAR(10)&amp;VLOOKUP(DATE($B$2,3,1)-WEEKDAY(DATE($B$2,3,1),2)+1+7*1+1,$AM$3:$AN$15,2,FALSE),""))</f>
        <v>3</v>
      </c>
      <c r="V7" s="8" t="str">
        <f>IF(MONTH(DATE($B$2,3,1)-WEEKDAY(DATE($B$2,3,1),2)+1+7*1+2)&lt;&gt;3,"",DAY(DATE($B$2,3,1)-WEEKDAY(DATE($B$2,3,1),2)+1+7*1+2)&amp;IFERROR(CHAR(10)&amp;VLOOKUP(DATE($B$2,3,1)-WEEKDAY(DATE($B$2,3,1),2)+1+7*1+2,$AM$3:$AN$15,2,FALSE),""))</f>
        <v>4</v>
      </c>
      <c r="W7" s="8" t="str">
        <f>IF(MONTH(DATE($B$2,3,1)-WEEKDAY(DATE($B$2,3,1),2)+1+7*1+3)&lt;&gt;3,"",DAY(DATE($B$2,3,1)-WEEKDAY(DATE($B$2,3,1),2)+1+7*1+3)&amp;IFERROR(CHAR(10)&amp;VLOOKUP(DATE($B$2,3,1)-WEEKDAY(DATE($B$2,3,1),2)+1+7*1+3,$AM$3:$AN$15,2,FALSE),""))</f>
        <v>5</v>
      </c>
      <c r="X7" s="8" t="str">
        <f>IF(MONTH(DATE($B$2,3,1)-WEEKDAY(DATE($B$2,3,1),2)+1+7*1+4)&lt;&gt;3,"",DAY(DATE($B$2,3,1)-WEEKDAY(DATE($B$2,3,1),2)+1+7*1+4)&amp;IFERROR(CHAR(10)&amp;VLOOKUP(DATE($B$2,3,1)-WEEKDAY(DATE($B$2,3,1),2)+1+7*1+4,$AM$3:$AN$15,2,FALSE),""))</f>
        <v>6</v>
      </c>
      <c r="Y7" s="9" t="str">
        <f>IF(MONTH(DATE($B$2,3,1)-WEEKDAY(DATE($B$2,3,1),2)+1+7*1+5)&lt;&gt;3,"",DAY(DATE($B$2,3,1)-WEEKDAY(DATE($B$2,3,1),2)+1+7*1+5)&amp;IFERROR(CHAR(10)&amp;VLOOKUP(DATE($B$2,3,1)-WEEKDAY(DATE($B$2,3,1),2)+1+7*1+5,$AM$3:$AN$15,2,FALSE),""))</f>
        <v>7</v>
      </c>
      <c r="Z7" s="10" t="str">
        <f>IF(MONTH(DATE($B$2,3,1)-WEEKDAY(DATE($B$2,3,1),2)+1+7*1+6)&lt;&gt;3,"",DAY(DATE($B$2,3,1)-WEEKDAY(DATE($B$2,3,1),2)+1+7*1+6)&amp;IFERROR(CHAR(10)&amp;VLOOKUP(DATE($B$2,3,1)-WEEKDAY(DATE($B$2,3,1),2)+1+7*1+6,$AM$3:$AN$15,2,FALSE),""))</f>
        <v>8
Kick-off</v>
      </c>
      <c r="AB7" s="20">
        <f>IF(AND(MONTH(DATE($B$2,4,1)-WEEKDAY(DATE($B$2,4,1),2)+1+7*1)&lt;&gt;4,MONTH((DATE($B$2,4,1)-WEEKDAY(DATE($B$2,4,1),2)+1+7*1)+6)&lt;&gt;4),"",INT(((DATE($B$2,4,1)-WEEKDAY(DATE($B$2,4,1),2)+1+7*1)-(DATE(YEAR((DATE($B$2,4,1)-WEEKDAY(DATE($B$2,4,1),2)+1+7*1)-WEEKDAY((DATE($B$2,4,1)-WEEKDAY(DATE($B$2,4,1),2)+1+7*1),2)+4),1,4)-WEEKDAY(DATE(YEAR((DATE($B$2,4,1)-WEEKDAY(DATE($B$2,4,1),2)+1+7*1)-WEEKDAY((DATE($B$2,4,1)-WEEKDAY(DATE($B$2,4,1),2)+1+7*1),2)+4),1,4),2)+1))/7)+1)</f>
        <v>15</v>
      </c>
      <c r="AC7" s="8" t="str">
        <f>IF(MONTH(DATE($B$2,4,1)-WEEKDAY(DATE($B$2,4,1),2)+1+7*1+0)&lt;&gt;4,"",DAY(DATE($B$2,4,1)-WEEKDAY(DATE($B$2,4,1),2)+1+7*1+0)&amp;IFERROR(CHAR(10)&amp;VLOOKUP(DATE($B$2,4,1)-WEEKDAY(DATE($B$2,4,1),2)+1+7*1+0,$AM$3:$AN$15,2,FALSE),""))</f>
        <v>6</v>
      </c>
      <c r="AD7" s="8" t="str">
        <f>IF(MONTH(DATE($B$2,4,1)-WEEKDAY(DATE($B$2,4,1),2)+1+7*1+1)&lt;&gt;4,"",DAY(DATE($B$2,4,1)-WEEKDAY(DATE($B$2,4,1),2)+1+7*1+1)&amp;IFERROR(CHAR(10)&amp;VLOOKUP(DATE($B$2,4,1)-WEEKDAY(DATE($B$2,4,1),2)+1+7*1+1,$AM$3:$AN$15,2,FALSE),""))</f>
        <v>7</v>
      </c>
      <c r="AE7" s="8" t="str">
        <f>IF(MONTH(DATE($B$2,4,1)-WEEKDAY(DATE($B$2,4,1),2)+1+7*1+2)&lt;&gt;4,"",DAY(DATE($B$2,4,1)-WEEKDAY(DATE($B$2,4,1),2)+1+7*1+2)&amp;IFERROR(CHAR(10)&amp;VLOOKUP(DATE($B$2,4,1)-WEEKDAY(DATE($B$2,4,1),2)+1+7*1+2,$AM$3:$AN$15,2,FALSE),""))</f>
        <v>8</v>
      </c>
      <c r="AF7" s="8" t="str">
        <f>IF(MONTH(DATE($B$2,4,1)-WEEKDAY(DATE($B$2,4,1),2)+1+7*1+3)&lt;&gt;4,"",DAY(DATE($B$2,4,1)-WEEKDAY(DATE($B$2,4,1),2)+1+7*1+3)&amp;IFERROR(CHAR(10)&amp;VLOOKUP(DATE($B$2,4,1)-WEEKDAY(DATE($B$2,4,1),2)+1+7*1+3,$AM$3:$AN$15,2,FALSE),""))</f>
        <v>9</v>
      </c>
      <c r="AG7" s="8" t="str">
        <f>IF(MONTH(DATE($B$2,4,1)-WEEKDAY(DATE($B$2,4,1),2)+1+7*1+4)&lt;&gt;4,"",DAY(DATE($B$2,4,1)-WEEKDAY(DATE($B$2,4,1),2)+1+7*1+4)&amp;IFERROR(CHAR(10)&amp;VLOOKUP(DATE($B$2,4,1)-WEEKDAY(DATE($B$2,4,1),2)+1+7*1+4,$AM$3:$AN$15,2,FALSE),""))</f>
        <v>10</v>
      </c>
      <c r="AH7" s="9" t="str">
        <f>IF(MONTH(DATE($B$2,4,1)-WEEKDAY(DATE($B$2,4,1),2)+1+7*1+5)&lt;&gt;4,"",DAY(DATE($B$2,4,1)-WEEKDAY(DATE($B$2,4,1),2)+1+7*1+5)&amp;IFERROR(CHAR(10)&amp;VLOOKUP(DATE($B$2,4,1)-WEEKDAY(DATE($B$2,4,1),2)+1+7*1+5,$AM$3:$AN$15,2,FALSE),""))</f>
        <v>11</v>
      </c>
      <c r="AI7" s="10" t="str">
        <f>IF(MONTH(DATE($B$2,4,1)-WEEKDAY(DATE($B$2,4,1),2)+1+7*1+6)&lt;&gt;4,"",DAY(DATE($B$2,4,1)-WEEKDAY(DATE($B$2,4,1),2)+1+7*1+6)&amp;IFERROR(CHAR(10)&amp;VLOOKUP(DATE($B$2,4,1)-WEEKDAY(DATE($B$2,4,1),2)+1+7*1+6,$AM$3:$AN$15,2,FALSE),""))</f>
        <v>12</v>
      </c>
      <c r="AK7" s="18" t="str">
        <f>RIGHT("0"&amp;DAY(DATE($B$2,5,1)),2)&amp;"."&amp;RIGHT("0"&amp;MONTH(DATE($B$2,5,1)),2)&amp;"."&amp;YEAR(DATE($B$2,5,1))</f>
        <v>01.05.2026</v>
      </c>
      <c r="AL7" s="3" t="s">
        <v>21</v>
      </c>
      <c r="AM7" s="14">
        <f>DATE($B$2,5,1)</f>
        <v>46143</v>
      </c>
      <c r="AN7" s="15" t="s">
        <v>21</v>
      </c>
    </row>
    <row r="8" spans="1:40" ht="29.1" customHeight="1" x14ac:dyDescent="0.25">
      <c r="A8" s="20">
        <f>IF(AND(MONTH(DATE($B$2,1,1)-WEEKDAY(DATE($B$2,1,1),2)+1+7*2)&lt;&gt;1,MONTH((DATE($B$2,1,1)-WEEKDAY(DATE($B$2,1,1),2)+1+7*2)+6)&lt;&gt;1),"",INT(((DATE($B$2,1,1)-WEEKDAY(DATE($B$2,1,1),2)+1+7*2)-(DATE(YEAR((DATE($B$2,1,1)-WEEKDAY(DATE($B$2,1,1),2)+1+7*2)-WEEKDAY((DATE($B$2,1,1)-WEEKDAY(DATE($B$2,1,1),2)+1+7*2),2)+4),1,4)-WEEKDAY(DATE(YEAR((DATE($B$2,1,1)-WEEKDAY(DATE($B$2,1,1),2)+1+7*2)-WEEKDAY((DATE($B$2,1,1)-WEEKDAY(DATE($B$2,1,1),2)+1+7*2),2)+4),1,4),2)+1))/7)+1)</f>
        <v>3</v>
      </c>
      <c r="B8" s="8" t="str">
        <f>IF(MONTH(DATE($B$2,1,1)-WEEKDAY(DATE($B$2,1,1),2)+1+7*2+0)&lt;&gt;1,"",DAY(DATE($B$2,1,1)-WEEKDAY(DATE($B$2,1,1),2)+1+7*2+0)&amp;IFERROR(CHAR(10)&amp;VLOOKUP(DATE($B$2,1,1)-WEEKDAY(DATE($B$2,1,1),2)+1+7*2+0,$AM$3:$AN$15,2,FALSE),""))</f>
        <v>12</v>
      </c>
      <c r="C8" s="8" t="str">
        <f>IF(MONTH(DATE($B$2,1,1)-WEEKDAY(DATE($B$2,1,1),2)+1+7*2+1)&lt;&gt;1,"",DAY(DATE($B$2,1,1)-WEEKDAY(DATE($B$2,1,1),2)+1+7*2+1)&amp;IFERROR(CHAR(10)&amp;VLOOKUP(DATE($B$2,1,1)-WEEKDAY(DATE($B$2,1,1),2)+1+7*2+1,$AM$3:$AN$15,2,FALSE),""))</f>
        <v>13</v>
      </c>
      <c r="D8" s="8" t="str">
        <f>IF(MONTH(DATE($B$2,1,1)-WEEKDAY(DATE($B$2,1,1),2)+1+7*2+2)&lt;&gt;1,"",DAY(DATE($B$2,1,1)-WEEKDAY(DATE($B$2,1,1),2)+1+7*2+2)&amp;IFERROR(CHAR(10)&amp;VLOOKUP(DATE($B$2,1,1)-WEEKDAY(DATE($B$2,1,1),2)+1+7*2+2,$AM$3:$AN$15,2,FALSE),""))</f>
        <v>14</v>
      </c>
      <c r="E8" s="8" t="str">
        <f>IF(MONTH(DATE($B$2,1,1)-WEEKDAY(DATE($B$2,1,1),2)+1+7*2+3)&lt;&gt;1,"",DAY(DATE($B$2,1,1)-WEEKDAY(DATE($B$2,1,1),2)+1+7*2+3)&amp;IFERROR(CHAR(10)&amp;VLOOKUP(DATE($B$2,1,1)-WEEKDAY(DATE($B$2,1,1),2)+1+7*2+3,$AM$3:$AN$15,2,FALSE),""))</f>
        <v>15</v>
      </c>
      <c r="F8" s="8" t="str">
        <f>IF(MONTH(DATE($B$2,1,1)-WEEKDAY(DATE($B$2,1,1),2)+1+7*2+4)&lt;&gt;1,"",DAY(DATE($B$2,1,1)-WEEKDAY(DATE($B$2,1,1),2)+1+7*2+4)&amp;IFERROR(CHAR(10)&amp;VLOOKUP(DATE($B$2,1,1)-WEEKDAY(DATE($B$2,1,1),2)+1+7*2+4,$AM$3:$AN$15,2,FALSE),""))</f>
        <v>16</v>
      </c>
      <c r="G8" s="9" t="str">
        <f>IF(MONTH(DATE($B$2,1,1)-WEEKDAY(DATE($B$2,1,1),2)+1+7*2+5)&lt;&gt;1,"",DAY(DATE($B$2,1,1)-WEEKDAY(DATE($B$2,1,1),2)+1+7*2+5)&amp;IFERROR(CHAR(10)&amp;VLOOKUP(DATE($B$2,1,1)-WEEKDAY(DATE($B$2,1,1),2)+1+7*2+5,$AM$3:$AN$15,2,FALSE),""))</f>
        <v>17</v>
      </c>
      <c r="H8" s="10" t="str">
        <f>IF(MONTH(DATE($B$2,1,1)-WEEKDAY(DATE($B$2,1,1),2)+1+7*2+6)&lt;&gt;1,"",DAY(DATE($B$2,1,1)-WEEKDAY(DATE($B$2,1,1),2)+1+7*2+6)&amp;IFERROR(CHAR(10)&amp;VLOOKUP(DATE($B$2,1,1)-WEEKDAY(DATE($B$2,1,1),2)+1+7*2+6,$AM$3:$AN$15,2,FALSE),""))</f>
        <v>18</v>
      </c>
      <c r="J8" s="20">
        <f>IF(AND(MONTH(DATE($B$2,2,1)-WEEKDAY(DATE($B$2,2,1),2)+1+7*2)&lt;&gt;2,MONTH((DATE($B$2,2,1)-WEEKDAY(DATE($B$2,2,1),2)+1+7*2)+6)&lt;&gt;2),"",INT(((DATE($B$2,2,1)-WEEKDAY(DATE($B$2,2,1),2)+1+7*2)-(DATE(YEAR((DATE($B$2,2,1)-WEEKDAY(DATE($B$2,2,1),2)+1+7*2)-WEEKDAY((DATE($B$2,2,1)-WEEKDAY(DATE($B$2,2,1),2)+1+7*2),2)+4),1,4)-WEEKDAY(DATE(YEAR((DATE($B$2,2,1)-WEEKDAY(DATE($B$2,2,1),2)+1+7*2)-WEEKDAY((DATE($B$2,2,1)-WEEKDAY(DATE($B$2,2,1),2)+1+7*2),2)+4),1,4),2)+1))/7)+1)</f>
        <v>7</v>
      </c>
      <c r="K8" s="8" t="str">
        <f>IF(MONTH(DATE($B$2,2,1)-WEEKDAY(DATE($B$2,2,1),2)+1+7*2+0)&lt;&gt;2,"",DAY(DATE($B$2,2,1)-WEEKDAY(DATE($B$2,2,1),2)+1+7*2+0)&amp;IFERROR(CHAR(10)&amp;VLOOKUP(DATE($B$2,2,1)-WEEKDAY(DATE($B$2,2,1),2)+1+7*2+0,$AM$3:$AN$15,2,FALSE),""))</f>
        <v>9</v>
      </c>
      <c r="L8" s="8" t="str">
        <f>IF(MONTH(DATE($B$2,2,1)-WEEKDAY(DATE($B$2,2,1),2)+1+7*2+1)&lt;&gt;2,"",DAY(DATE($B$2,2,1)-WEEKDAY(DATE($B$2,2,1),2)+1+7*2+1)&amp;IFERROR(CHAR(10)&amp;VLOOKUP(DATE($B$2,2,1)-WEEKDAY(DATE($B$2,2,1),2)+1+7*2+1,$AM$3:$AN$15,2,FALSE),""))</f>
        <v>10</v>
      </c>
      <c r="M8" s="8" t="str">
        <f>IF(MONTH(DATE($B$2,2,1)-WEEKDAY(DATE($B$2,2,1),2)+1+7*2+2)&lt;&gt;2,"",DAY(DATE($B$2,2,1)-WEEKDAY(DATE($B$2,2,1),2)+1+7*2+2)&amp;IFERROR(CHAR(10)&amp;VLOOKUP(DATE($B$2,2,1)-WEEKDAY(DATE($B$2,2,1),2)+1+7*2+2,$AM$3:$AN$15,2,FALSE),""))</f>
        <v>11</v>
      </c>
      <c r="N8" s="8" t="str">
        <f>IF(MONTH(DATE($B$2,2,1)-WEEKDAY(DATE($B$2,2,1),2)+1+7*2+3)&lt;&gt;2,"",DAY(DATE($B$2,2,1)-WEEKDAY(DATE($B$2,2,1),2)+1+7*2+3)&amp;IFERROR(CHAR(10)&amp;VLOOKUP(DATE($B$2,2,1)-WEEKDAY(DATE($B$2,2,1),2)+1+7*2+3,$AM$3:$AN$15,2,FALSE),""))</f>
        <v>12</v>
      </c>
      <c r="O8" s="8" t="str">
        <f>IF(MONTH(DATE($B$2,2,1)-WEEKDAY(DATE($B$2,2,1),2)+1+7*2+4)&lt;&gt;2,"",DAY(DATE($B$2,2,1)-WEEKDAY(DATE($B$2,2,1),2)+1+7*2+4)&amp;IFERROR(CHAR(10)&amp;VLOOKUP(DATE($B$2,2,1)-WEEKDAY(DATE($B$2,2,1),2)+1+7*2+4,$AM$3:$AN$15,2,FALSE),""))</f>
        <v>13</v>
      </c>
      <c r="P8" s="9" t="str">
        <f>IF(MONTH(DATE($B$2,2,1)-WEEKDAY(DATE($B$2,2,1),2)+1+7*2+5)&lt;&gt;2,"",DAY(DATE($B$2,2,1)-WEEKDAY(DATE($B$2,2,1),2)+1+7*2+5)&amp;IFERROR(CHAR(10)&amp;VLOOKUP(DATE($B$2,2,1)-WEEKDAY(DATE($B$2,2,1),2)+1+7*2+5,$AM$3:$AN$15,2,FALSE),""))</f>
        <v>14
Review</v>
      </c>
      <c r="Q8" s="10" t="str">
        <f>IF(MONTH(DATE($B$2,2,1)-WEEKDAY(DATE($B$2,2,1),2)+1+7*2+6)&lt;&gt;2,"",DAY(DATE($B$2,2,1)-WEEKDAY(DATE($B$2,2,1),2)+1+7*2+6)&amp;IFERROR(CHAR(10)&amp;VLOOKUP(DATE($B$2,2,1)-WEEKDAY(DATE($B$2,2,1),2)+1+7*2+6,$AM$3:$AN$15,2,FALSE),""))</f>
        <v>15</v>
      </c>
      <c r="S8" s="20">
        <f>IF(AND(MONTH(DATE($B$2,3,1)-WEEKDAY(DATE($B$2,3,1),2)+1+7*2)&lt;&gt;3,MONTH((DATE($B$2,3,1)-WEEKDAY(DATE($B$2,3,1),2)+1+7*2)+6)&lt;&gt;3),"",INT(((DATE($B$2,3,1)-WEEKDAY(DATE($B$2,3,1),2)+1+7*2)-(DATE(YEAR((DATE($B$2,3,1)-WEEKDAY(DATE($B$2,3,1),2)+1+7*2)-WEEKDAY((DATE($B$2,3,1)-WEEKDAY(DATE($B$2,3,1),2)+1+7*2),2)+4),1,4)-WEEKDAY(DATE(YEAR((DATE($B$2,3,1)-WEEKDAY(DATE($B$2,3,1),2)+1+7*2)-WEEKDAY((DATE($B$2,3,1)-WEEKDAY(DATE($B$2,3,1),2)+1+7*2),2)+4),1,4),2)+1))/7)+1)</f>
        <v>11</v>
      </c>
      <c r="T8" s="8" t="str">
        <f>IF(MONTH(DATE($B$2,3,1)-WEEKDAY(DATE($B$2,3,1),2)+1+7*2+0)&lt;&gt;3,"",DAY(DATE($B$2,3,1)-WEEKDAY(DATE($B$2,3,1),2)+1+7*2+0)&amp;IFERROR(CHAR(10)&amp;VLOOKUP(DATE($B$2,3,1)-WEEKDAY(DATE($B$2,3,1),2)+1+7*2+0,$AM$3:$AN$15,2,FALSE),""))</f>
        <v>9</v>
      </c>
      <c r="U8" s="8" t="str">
        <f>IF(MONTH(DATE($B$2,3,1)-WEEKDAY(DATE($B$2,3,1),2)+1+7*2+1)&lt;&gt;3,"",DAY(DATE($B$2,3,1)-WEEKDAY(DATE($B$2,3,1),2)+1+7*2+1)&amp;IFERROR(CHAR(10)&amp;VLOOKUP(DATE($B$2,3,1)-WEEKDAY(DATE($B$2,3,1),2)+1+7*2+1,$AM$3:$AN$15,2,FALSE),""))</f>
        <v>10</v>
      </c>
      <c r="V8" s="8" t="str">
        <f>IF(MONTH(DATE($B$2,3,1)-WEEKDAY(DATE($B$2,3,1),2)+1+7*2+2)&lt;&gt;3,"",DAY(DATE($B$2,3,1)-WEEKDAY(DATE($B$2,3,1),2)+1+7*2+2)&amp;IFERROR(CHAR(10)&amp;VLOOKUP(DATE($B$2,3,1)-WEEKDAY(DATE($B$2,3,1),2)+1+7*2+2,$AM$3:$AN$15,2,FALSE),""))</f>
        <v>11</v>
      </c>
      <c r="W8" s="8" t="str">
        <f>IF(MONTH(DATE($B$2,3,1)-WEEKDAY(DATE($B$2,3,1),2)+1+7*2+3)&lt;&gt;3,"",DAY(DATE($B$2,3,1)-WEEKDAY(DATE($B$2,3,1),2)+1+7*2+3)&amp;IFERROR(CHAR(10)&amp;VLOOKUP(DATE($B$2,3,1)-WEEKDAY(DATE($B$2,3,1),2)+1+7*2+3,$AM$3:$AN$15,2,FALSE),""))</f>
        <v>12</v>
      </c>
      <c r="X8" s="8" t="str">
        <f>IF(MONTH(DATE($B$2,3,1)-WEEKDAY(DATE($B$2,3,1),2)+1+7*2+4)&lt;&gt;3,"",DAY(DATE($B$2,3,1)-WEEKDAY(DATE($B$2,3,1),2)+1+7*2+4)&amp;IFERROR(CHAR(10)&amp;VLOOKUP(DATE($B$2,3,1)-WEEKDAY(DATE($B$2,3,1),2)+1+7*2+4,$AM$3:$AN$15,2,FALSE),""))</f>
        <v>13</v>
      </c>
      <c r="Y8" s="9" t="str">
        <f>IF(MONTH(DATE($B$2,3,1)-WEEKDAY(DATE($B$2,3,1),2)+1+7*2+5)&lt;&gt;3,"",DAY(DATE($B$2,3,1)-WEEKDAY(DATE($B$2,3,1),2)+1+7*2+5)&amp;IFERROR(CHAR(10)&amp;VLOOKUP(DATE($B$2,3,1)-WEEKDAY(DATE($B$2,3,1),2)+1+7*2+5,$AM$3:$AN$15,2,FALSE),""))</f>
        <v>14</v>
      </c>
      <c r="Z8" s="10" t="str">
        <f>IF(MONTH(DATE($B$2,3,1)-WEEKDAY(DATE($B$2,3,1),2)+1+7*2+6)&lt;&gt;3,"",DAY(DATE($B$2,3,1)-WEEKDAY(DATE($B$2,3,1),2)+1+7*2+6)&amp;IFERROR(CHAR(10)&amp;VLOOKUP(DATE($B$2,3,1)-WEEKDAY(DATE($B$2,3,1),2)+1+7*2+6,$AM$3:$AN$15,2,FALSE),""))</f>
        <v>15</v>
      </c>
      <c r="AB8" s="20">
        <f>IF(AND(MONTH(DATE($B$2,4,1)-WEEKDAY(DATE($B$2,4,1),2)+1+7*2)&lt;&gt;4,MONTH((DATE($B$2,4,1)-WEEKDAY(DATE($B$2,4,1),2)+1+7*2)+6)&lt;&gt;4),"",INT(((DATE($B$2,4,1)-WEEKDAY(DATE($B$2,4,1),2)+1+7*2)-(DATE(YEAR((DATE($B$2,4,1)-WEEKDAY(DATE($B$2,4,1),2)+1+7*2)-WEEKDAY((DATE($B$2,4,1)-WEEKDAY(DATE($B$2,4,1),2)+1+7*2),2)+4),1,4)-WEEKDAY(DATE(YEAR((DATE($B$2,4,1)-WEEKDAY(DATE($B$2,4,1),2)+1+7*2)-WEEKDAY((DATE($B$2,4,1)-WEEKDAY(DATE($B$2,4,1),2)+1+7*2),2)+4),1,4),2)+1))/7)+1)</f>
        <v>16</v>
      </c>
      <c r="AC8" s="8" t="str">
        <f>IF(MONTH(DATE($B$2,4,1)-WEEKDAY(DATE($B$2,4,1),2)+1+7*2+0)&lt;&gt;4,"",DAY(DATE($B$2,4,1)-WEEKDAY(DATE($B$2,4,1),2)+1+7*2+0)&amp;IFERROR(CHAR(10)&amp;VLOOKUP(DATE($B$2,4,1)-WEEKDAY(DATE($B$2,4,1),2)+1+7*2+0,$AM$3:$AN$15,2,FALSE),""))</f>
        <v>13</v>
      </c>
      <c r="AD8" s="8" t="str">
        <f>IF(MONTH(DATE($B$2,4,1)-WEEKDAY(DATE($B$2,4,1),2)+1+7*2+1)&lt;&gt;4,"",DAY(DATE($B$2,4,1)-WEEKDAY(DATE($B$2,4,1),2)+1+7*2+1)&amp;IFERROR(CHAR(10)&amp;VLOOKUP(DATE($B$2,4,1)-WEEKDAY(DATE($B$2,4,1),2)+1+7*2+1,$AM$3:$AN$15,2,FALSE),""))</f>
        <v>14</v>
      </c>
      <c r="AE8" s="8" t="str">
        <f>IF(MONTH(DATE($B$2,4,1)-WEEKDAY(DATE($B$2,4,1),2)+1+7*2+2)&lt;&gt;4,"",DAY(DATE($B$2,4,1)-WEEKDAY(DATE($B$2,4,1),2)+1+7*2+2)&amp;IFERROR(CHAR(10)&amp;VLOOKUP(DATE($B$2,4,1)-WEEKDAY(DATE($B$2,4,1),2)+1+7*2+2,$AM$3:$AN$15,2,FALSE),""))</f>
        <v>15</v>
      </c>
      <c r="AF8" s="8" t="str">
        <f>IF(MONTH(DATE($B$2,4,1)-WEEKDAY(DATE($B$2,4,1),2)+1+7*2+3)&lt;&gt;4,"",DAY(DATE($B$2,4,1)-WEEKDAY(DATE($B$2,4,1),2)+1+7*2+3)&amp;IFERROR(CHAR(10)&amp;VLOOKUP(DATE($B$2,4,1)-WEEKDAY(DATE($B$2,4,1),2)+1+7*2+3,$AM$3:$AN$15,2,FALSE),""))</f>
        <v>16</v>
      </c>
      <c r="AG8" s="8" t="str">
        <f>IF(MONTH(DATE($B$2,4,1)-WEEKDAY(DATE($B$2,4,1),2)+1+7*2+4)&lt;&gt;4,"",DAY(DATE($B$2,4,1)-WEEKDAY(DATE($B$2,4,1),2)+1+7*2+4)&amp;IFERROR(CHAR(10)&amp;VLOOKUP(DATE($B$2,4,1)-WEEKDAY(DATE($B$2,4,1),2)+1+7*2+4,$AM$3:$AN$15,2,FALSE),""))</f>
        <v>17
Workshop</v>
      </c>
      <c r="AH8" s="9" t="str">
        <f>IF(MONTH(DATE($B$2,4,1)-WEEKDAY(DATE($B$2,4,1),2)+1+7*2+5)&lt;&gt;4,"",DAY(DATE($B$2,4,1)-WEEKDAY(DATE($B$2,4,1),2)+1+7*2+5)&amp;IFERROR(CHAR(10)&amp;VLOOKUP(DATE($B$2,4,1)-WEEKDAY(DATE($B$2,4,1),2)+1+7*2+5,$AM$3:$AN$15,2,FALSE),""))</f>
        <v>18</v>
      </c>
      <c r="AI8" s="10" t="str">
        <f>IF(MONTH(DATE($B$2,4,1)-WEEKDAY(DATE($B$2,4,1),2)+1+7*2+6)&lt;&gt;4,"",DAY(DATE($B$2,4,1)-WEEKDAY(DATE($B$2,4,1),2)+1+7*2+6)&amp;IFERROR(CHAR(10)&amp;VLOOKUP(DATE($B$2,4,1)-WEEKDAY(DATE($B$2,4,1),2)+1+7*2+6,$AM$3:$AN$15,2,FALSE),""))</f>
        <v>19</v>
      </c>
      <c r="AK8" s="19" t="str">
        <f>RIGHT("0"&amp;DAY(DATE($B$2,6,12)),2)&amp;"."&amp;RIGHT("0"&amp;MONTH(DATE($B$2,6,12)),2)&amp;"."&amp;YEAR(DATE($B$2,6,12))</f>
        <v>12.06.2026</v>
      </c>
      <c r="AL8" s="4" t="s">
        <v>22</v>
      </c>
      <c r="AM8" s="16">
        <f>DATE($B$2,6,12)</f>
        <v>46185</v>
      </c>
      <c r="AN8" s="17" t="s">
        <v>22</v>
      </c>
    </row>
    <row r="9" spans="1:40" ht="29.1" customHeight="1" x14ac:dyDescent="0.25">
      <c r="A9" s="20">
        <f>IF(AND(MONTH(DATE($B$2,1,1)-WEEKDAY(DATE($B$2,1,1),2)+1+7*3)&lt;&gt;1,MONTH((DATE($B$2,1,1)-WEEKDAY(DATE($B$2,1,1),2)+1+7*3)+6)&lt;&gt;1),"",INT(((DATE($B$2,1,1)-WEEKDAY(DATE($B$2,1,1),2)+1+7*3)-(DATE(YEAR((DATE($B$2,1,1)-WEEKDAY(DATE($B$2,1,1),2)+1+7*3)-WEEKDAY((DATE($B$2,1,1)-WEEKDAY(DATE($B$2,1,1),2)+1+7*3),2)+4),1,4)-WEEKDAY(DATE(YEAR((DATE($B$2,1,1)-WEEKDAY(DATE($B$2,1,1),2)+1+7*3)-WEEKDAY((DATE($B$2,1,1)-WEEKDAY(DATE($B$2,1,1),2)+1+7*3),2)+4),1,4),2)+1))/7)+1)</f>
        <v>4</v>
      </c>
      <c r="B9" s="8" t="str">
        <f>IF(MONTH(DATE($B$2,1,1)-WEEKDAY(DATE($B$2,1,1),2)+1+7*3+0)&lt;&gt;1,"",DAY(DATE($B$2,1,1)-WEEKDAY(DATE($B$2,1,1),2)+1+7*3+0)&amp;IFERROR(CHAR(10)&amp;VLOOKUP(DATE($B$2,1,1)-WEEKDAY(DATE($B$2,1,1),2)+1+7*3+0,$AM$3:$AN$15,2,FALSE),""))</f>
        <v>19</v>
      </c>
      <c r="C9" s="8" t="str">
        <f>IF(MONTH(DATE($B$2,1,1)-WEEKDAY(DATE($B$2,1,1),2)+1+7*3+1)&lt;&gt;1,"",DAY(DATE($B$2,1,1)-WEEKDAY(DATE($B$2,1,1),2)+1+7*3+1)&amp;IFERROR(CHAR(10)&amp;VLOOKUP(DATE($B$2,1,1)-WEEKDAY(DATE($B$2,1,1),2)+1+7*3+1,$AM$3:$AN$15,2,FALSE),""))</f>
        <v>20</v>
      </c>
      <c r="D9" s="8" t="str">
        <f>IF(MONTH(DATE($B$2,1,1)-WEEKDAY(DATE($B$2,1,1),2)+1+7*3+2)&lt;&gt;1,"",DAY(DATE($B$2,1,1)-WEEKDAY(DATE($B$2,1,1),2)+1+7*3+2)&amp;IFERROR(CHAR(10)&amp;VLOOKUP(DATE($B$2,1,1)-WEEKDAY(DATE($B$2,1,1),2)+1+7*3+2,$AM$3:$AN$15,2,FALSE),""))</f>
        <v>21</v>
      </c>
      <c r="E9" s="8" t="str">
        <f>IF(MONTH(DATE($B$2,1,1)-WEEKDAY(DATE($B$2,1,1),2)+1+7*3+3)&lt;&gt;1,"",DAY(DATE($B$2,1,1)-WEEKDAY(DATE($B$2,1,1),2)+1+7*3+3)&amp;IFERROR(CHAR(10)&amp;VLOOKUP(DATE($B$2,1,1)-WEEKDAY(DATE($B$2,1,1),2)+1+7*3+3,$AM$3:$AN$15,2,FALSE),""))</f>
        <v>22</v>
      </c>
      <c r="F9" s="8" t="str">
        <f>IF(MONTH(DATE($B$2,1,1)-WEEKDAY(DATE($B$2,1,1),2)+1+7*3+4)&lt;&gt;1,"",DAY(DATE($B$2,1,1)-WEEKDAY(DATE($B$2,1,1),2)+1+7*3+4)&amp;IFERROR(CHAR(10)&amp;VLOOKUP(DATE($B$2,1,1)-WEEKDAY(DATE($B$2,1,1),2)+1+7*3+4,$AM$3:$AN$15,2,FALSE),""))</f>
        <v>23</v>
      </c>
      <c r="G9" s="9" t="str">
        <f>IF(MONTH(DATE($B$2,1,1)-WEEKDAY(DATE($B$2,1,1),2)+1+7*3+5)&lt;&gt;1,"",DAY(DATE($B$2,1,1)-WEEKDAY(DATE($B$2,1,1),2)+1+7*3+5)&amp;IFERROR(CHAR(10)&amp;VLOOKUP(DATE($B$2,1,1)-WEEKDAY(DATE($B$2,1,1),2)+1+7*3+5,$AM$3:$AN$15,2,FALSE),""))</f>
        <v>24</v>
      </c>
      <c r="H9" s="10" t="str">
        <f>IF(MONTH(DATE($B$2,1,1)-WEEKDAY(DATE($B$2,1,1),2)+1+7*3+6)&lt;&gt;1,"",DAY(DATE($B$2,1,1)-WEEKDAY(DATE($B$2,1,1),2)+1+7*3+6)&amp;IFERROR(CHAR(10)&amp;VLOOKUP(DATE($B$2,1,1)-WEEKDAY(DATE($B$2,1,1),2)+1+7*3+6,$AM$3:$AN$15,2,FALSE),""))</f>
        <v>25</v>
      </c>
      <c r="J9" s="20">
        <f>IF(AND(MONTH(DATE($B$2,2,1)-WEEKDAY(DATE($B$2,2,1),2)+1+7*3)&lt;&gt;2,MONTH((DATE($B$2,2,1)-WEEKDAY(DATE($B$2,2,1),2)+1+7*3)+6)&lt;&gt;2),"",INT(((DATE($B$2,2,1)-WEEKDAY(DATE($B$2,2,1),2)+1+7*3)-(DATE(YEAR((DATE($B$2,2,1)-WEEKDAY(DATE($B$2,2,1),2)+1+7*3)-WEEKDAY((DATE($B$2,2,1)-WEEKDAY(DATE($B$2,2,1),2)+1+7*3),2)+4),1,4)-WEEKDAY(DATE(YEAR((DATE($B$2,2,1)-WEEKDAY(DATE($B$2,2,1),2)+1+7*3)-WEEKDAY((DATE($B$2,2,1)-WEEKDAY(DATE($B$2,2,1),2)+1+7*3),2)+4),1,4),2)+1))/7)+1)</f>
        <v>8</v>
      </c>
      <c r="K9" s="8" t="str">
        <f>IF(MONTH(DATE($B$2,2,1)-WEEKDAY(DATE($B$2,2,1),2)+1+7*3+0)&lt;&gt;2,"",DAY(DATE($B$2,2,1)-WEEKDAY(DATE($B$2,2,1),2)+1+7*3+0)&amp;IFERROR(CHAR(10)&amp;VLOOKUP(DATE($B$2,2,1)-WEEKDAY(DATE($B$2,2,1),2)+1+7*3+0,$AM$3:$AN$15,2,FALSE),""))</f>
        <v>16</v>
      </c>
      <c r="L9" s="8" t="str">
        <f>IF(MONTH(DATE($B$2,2,1)-WEEKDAY(DATE($B$2,2,1),2)+1+7*3+1)&lt;&gt;2,"",DAY(DATE($B$2,2,1)-WEEKDAY(DATE($B$2,2,1),2)+1+7*3+1)&amp;IFERROR(CHAR(10)&amp;VLOOKUP(DATE($B$2,2,1)-WEEKDAY(DATE($B$2,2,1),2)+1+7*3+1,$AM$3:$AN$15,2,FALSE),""))</f>
        <v>17</v>
      </c>
      <c r="M9" s="8" t="str">
        <f>IF(MONTH(DATE($B$2,2,1)-WEEKDAY(DATE($B$2,2,1),2)+1+7*3+2)&lt;&gt;2,"",DAY(DATE($B$2,2,1)-WEEKDAY(DATE($B$2,2,1),2)+1+7*3+2)&amp;IFERROR(CHAR(10)&amp;VLOOKUP(DATE($B$2,2,1)-WEEKDAY(DATE($B$2,2,1),2)+1+7*3+2,$AM$3:$AN$15,2,FALSE),""))</f>
        <v>18</v>
      </c>
      <c r="N9" s="8" t="str">
        <f>IF(MONTH(DATE($B$2,2,1)-WEEKDAY(DATE($B$2,2,1),2)+1+7*3+3)&lt;&gt;2,"",DAY(DATE($B$2,2,1)-WEEKDAY(DATE($B$2,2,1),2)+1+7*3+3)&amp;IFERROR(CHAR(10)&amp;VLOOKUP(DATE($B$2,2,1)-WEEKDAY(DATE($B$2,2,1),2)+1+7*3+3,$AM$3:$AN$15,2,FALSE),""))</f>
        <v>19</v>
      </c>
      <c r="O9" s="8" t="str">
        <f>IF(MONTH(DATE($B$2,2,1)-WEEKDAY(DATE($B$2,2,1),2)+1+7*3+4)&lt;&gt;2,"",DAY(DATE($B$2,2,1)-WEEKDAY(DATE($B$2,2,1),2)+1+7*3+4)&amp;IFERROR(CHAR(10)&amp;VLOOKUP(DATE($B$2,2,1)-WEEKDAY(DATE($B$2,2,1),2)+1+7*3+4,$AM$3:$AN$15,2,FALSE),""))</f>
        <v>20</v>
      </c>
      <c r="P9" s="9" t="str">
        <f>IF(MONTH(DATE($B$2,2,1)-WEEKDAY(DATE($B$2,2,1),2)+1+7*3+5)&lt;&gt;2,"",DAY(DATE($B$2,2,1)-WEEKDAY(DATE($B$2,2,1),2)+1+7*3+5)&amp;IFERROR(CHAR(10)&amp;VLOOKUP(DATE($B$2,2,1)-WEEKDAY(DATE($B$2,2,1),2)+1+7*3+5,$AM$3:$AN$15,2,FALSE),""))</f>
        <v>21</v>
      </c>
      <c r="Q9" s="10" t="str">
        <f>IF(MONTH(DATE($B$2,2,1)-WEEKDAY(DATE($B$2,2,1),2)+1+7*3+6)&lt;&gt;2,"",DAY(DATE($B$2,2,1)-WEEKDAY(DATE($B$2,2,1),2)+1+7*3+6)&amp;IFERROR(CHAR(10)&amp;VLOOKUP(DATE($B$2,2,1)-WEEKDAY(DATE($B$2,2,1),2)+1+7*3+6,$AM$3:$AN$15,2,FALSE),""))</f>
        <v>22</v>
      </c>
      <c r="S9" s="20">
        <f>IF(AND(MONTH(DATE($B$2,3,1)-WEEKDAY(DATE($B$2,3,1),2)+1+7*3)&lt;&gt;3,MONTH((DATE($B$2,3,1)-WEEKDAY(DATE($B$2,3,1),2)+1+7*3)+6)&lt;&gt;3),"",INT(((DATE($B$2,3,1)-WEEKDAY(DATE($B$2,3,1),2)+1+7*3)-(DATE(YEAR((DATE($B$2,3,1)-WEEKDAY(DATE($B$2,3,1),2)+1+7*3)-WEEKDAY((DATE($B$2,3,1)-WEEKDAY(DATE($B$2,3,1),2)+1+7*3),2)+4),1,4)-WEEKDAY(DATE(YEAR((DATE($B$2,3,1)-WEEKDAY(DATE($B$2,3,1),2)+1+7*3)-WEEKDAY((DATE($B$2,3,1)-WEEKDAY(DATE($B$2,3,1),2)+1+7*3),2)+4),1,4),2)+1))/7)+1)</f>
        <v>12</v>
      </c>
      <c r="T9" s="8" t="str">
        <f>IF(MONTH(DATE($B$2,3,1)-WEEKDAY(DATE($B$2,3,1),2)+1+7*3+0)&lt;&gt;3,"",DAY(DATE($B$2,3,1)-WEEKDAY(DATE($B$2,3,1),2)+1+7*3+0)&amp;IFERROR(CHAR(10)&amp;VLOOKUP(DATE($B$2,3,1)-WEEKDAY(DATE($B$2,3,1),2)+1+7*3+0,$AM$3:$AN$15,2,FALSE),""))</f>
        <v>16</v>
      </c>
      <c r="U9" s="8" t="str">
        <f>IF(MONTH(DATE($B$2,3,1)-WEEKDAY(DATE($B$2,3,1),2)+1+7*3+1)&lt;&gt;3,"",DAY(DATE($B$2,3,1)-WEEKDAY(DATE($B$2,3,1),2)+1+7*3+1)&amp;IFERROR(CHAR(10)&amp;VLOOKUP(DATE($B$2,3,1)-WEEKDAY(DATE($B$2,3,1),2)+1+7*3+1,$AM$3:$AN$15,2,FALSE),""))</f>
        <v>17</v>
      </c>
      <c r="V9" s="8" t="str">
        <f>IF(MONTH(DATE($B$2,3,1)-WEEKDAY(DATE($B$2,3,1),2)+1+7*3+2)&lt;&gt;3,"",DAY(DATE($B$2,3,1)-WEEKDAY(DATE($B$2,3,1),2)+1+7*3+2)&amp;IFERROR(CHAR(10)&amp;VLOOKUP(DATE($B$2,3,1)-WEEKDAY(DATE($B$2,3,1),2)+1+7*3+2,$AM$3:$AN$15,2,FALSE),""))</f>
        <v>18</v>
      </c>
      <c r="W9" s="8" t="str">
        <f>IF(MONTH(DATE($B$2,3,1)-WEEKDAY(DATE($B$2,3,1),2)+1+7*3+3)&lt;&gt;3,"",DAY(DATE($B$2,3,1)-WEEKDAY(DATE($B$2,3,1),2)+1+7*3+3)&amp;IFERROR(CHAR(10)&amp;VLOOKUP(DATE($B$2,3,1)-WEEKDAY(DATE($B$2,3,1),2)+1+7*3+3,$AM$3:$AN$15,2,FALSE),""))</f>
        <v>19</v>
      </c>
      <c r="X9" s="8" t="str">
        <f>IF(MONTH(DATE($B$2,3,1)-WEEKDAY(DATE($B$2,3,1),2)+1+7*3+4)&lt;&gt;3,"",DAY(DATE($B$2,3,1)-WEEKDAY(DATE($B$2,3,1),2)+1+7*3+4)&amp;IFERROR(CHAR(10)&amp;VLOOKUP(DATE($B$2,3,1)-WEEKDAY(DATE($B$2,3,1),2)+1+7*3+4,$AM$3:$AN$15,2,FALSE),""))</f>
        <v>20</v>
      </c>
      <c r="Y9" s="9" t="str">
        <f>IF(MONTH(DATE($B$2,3,1)-WEEKDAY(DATE($B$2,3,1),2)+1+7*3+5)&lt;&gt;3,"",DAY(DATE($B$2,3,1)-WEEKDAY(DATE($B$2,3,1),2)+1+7*3+5)&amp;IFERROR(CHAR(10)&amp;VLOOKUP(DATE($B$2,3,1)-WEEKDAY(DATE($B$2,3,1),2)+1+7*3+5,$AM$3:$AN$15,2,FALSE),""))</f>
        <v>21</v>
      </c>
      <c r="Z9" s="10" t="str">
        <f>IF(MONTH(DATE($B$2,3,1)-WEEKDAY(DATE($B$2,3,1),2)+1+7*3+6)&lt;&gt;3,"",DAY(DATE($B$2,3,1)-WEEKDAY(DATE($B$2,3,1),2)+1+7*3+6)&amp;IFERROR(CHAR(10)&amp;VLOOKUP(DATE($B$2,3,1)-WEEKDAY(DATE($B$2,3,1),2)+1+7*3+6,$AM$3:$AN$15,2,FALSE),""))</f>
        <v>22</v>
      </c>
      <c r="AB9" s="20">
        <f>IF(AND(MONTH(DATE($B$2,4,1)-WEEKDAY(DATE($B$2,4,1),2)+1+7*3)&lt;&gt;4,MONTH((DATE($B$2,4,1)-WEEKDAY(DATE($B$2,4,1),2)+1+7*3)+6)&lt;&gt;4),"",INT(((DATE($B$2,4,1)-WEEKDAY(DATE($B$2,4,1),2)+1+7*3)-(DATE(YEAR((DATE($B$2,4,1)-WEEKDAY(DATE($B$2,4,1),2)+1+7*3)-WEEKDAY((DATE($B$2,4,1)-WEEKDAY(DATE($B$2,4,1),2)+1+7*3),2)+4),1,4)-WEEKDAY(DATE(YEAR((DATE($B$2,4,1)-WEEKDAY(DATE($B$2,4,1),2)+1+7*3)-WEEKDAY((DATE($B$2,4,1)-WEEKDAY(DATE($B$2,4,1),2)+1+7*3),2)+4),1,4),2)+1))/7)+1)</f>
        <v>17</v>
      </c>
      <c r="AC9" s="8" t="str">
        <f>IF(MONTH(DATE($B$2,4,1)-WEEKDAY(DATE($B$2,4,1),2)+1+7*3+0)&lt;&gt;4,"",DAY(DATE($B$2,4,1)-WEEKDAY(DATE($B$2,4,1),2)+1+7*3+0)&amp;IFERROR(CHAR(10)&amp;VLOOKUP(DATE($B$2,4,1)-WEEKDAY(DATE($B$2,4,1),2)+1+7*3+0,$AM$3:$AN$15,2,FALSE),""))</f>
        <v>20</v>
      </c>
      <c r="AD9" s="8" t="str">
        <f>IF(MONTH(DATE($B$2,4,1)-WEEKDAY(DATE($B$2,4,1),2)+1+7*3+1)&lt;&gt;4,"",DAY(DATE($B$2,4,1)-WEEKDAY(DATE($B$2,4,1),2)+1+7*3+1)&amp;IFERROR(CHAR(10)&amp;VLOOKUP(DATE($B$2,4,1)-WEEKDAY(DATE($B$2,4,1),2)+1+7*3+1,$AM$3:$AN$15,2,FALSE),""))</f>
        <v>21</v>
      </c>
      <c r="AE9" s="8" t="str">
        <f>IF(MONTH(DATE($B$2,4,1)-WEEKDAY(DATE($B$2,4,1),2)+1+7*3+2)&lt;&gt;4,"",DAY(DATE($B$2,4,1)-WEEKDAY(DATE($B$2,4,1),2)+1+7*3+2)&amp;IFERROR(CHAR(10)&amp;VLOOKUP(DATE($B$2,4,1)-WEEKDAY(DATE($B$2,4,1),2)+1+7*3+2,$AM$3:$AN$15,2,FALSE),""))</f>
        <v>22</v>
      </c>
      <c r="AF9" s="8" t="str">
        <f>IF(MONTH(DATE($B$2,4,1)-WEEKDAY(DATE($B$2,4,1),2)+1+7*3+3)&lt;&gt;4,"",DAY(DATE($B$2,4,1)-WEEKDAY(DATE($B$2,4,1),2)+1+7*3+3)&amp;IFERROR(CHAR(10)&amp;VLOOKUP(DATE($B$2,4,1)-WEEKDAY(DATE($B$2,4,1),2)+1+7*3+3,$AM$3:$AN$15,2,FALSE),""))</f>
        <v>23</v>
      </c>
      <c r="AG9" s="8" t="str">
        <f>IF(MONTH(DATE($B$2,4,1)-WEEKDAY(DATE($B$2,4,1),2)+1+7*3+4)&lt;&gt;4,"",DAY(DATE($B$2,4,1)-WEEKDAY(DATE($B$2,4,1),2)+1+7*3+4)&amp;IFERROR(CHAR(10)&amp;VLOOKUP(DATE($B$2,4,1)-WEEKDAY(DATE($B$2,4,1),2)+1+7*3+4,$AM$3:$AN$15,2,FALSE),""))</f>
        <v>24</v>
      </c>
      <c r="AH9" s="9" t="str">
        <f>IF(MONTH(DATE($B$2,4,1)-WEEKDAY(DATE($B$2,4,1),2)+1+7*3+5)&lt;&gt;4,"",DAY(DATE($B$2,4,1)-WEEKDAY(DATE($B$2,4,1),2)+1+7*3+5)&amp;IFERROR(CHAR(10)&amp;VLOOKUP(DATE($B$2,4,1)-WEEKDAY(DATE($B$2,4,1),2)+1+7*3+5,$AM$3:$AN$15,2,FALSE),""))</f>
        <v>25</v>
      </c>
      <c r="AI9" s="10" t="str">
        <f>IF(MONTH(DATE($B$2,4,1)-WEEKDAY(DATE($B$2,4,1),2)+1+7*3+6)&lt;&gt;4,"",DAY(DATE($B$2,4,1)-WEEKDAY(DATE($B$2,4,1),2)+1+7*3+6)&amp;IFERROR(CHAR(10)&amp;VLOOKUP(DATE($B$2,4,1)-WEEKDAY(DATE($B$2,4,1),2)+1+7*3+6,$AM$3:$AN$15,2,FALSE),""))</f>
        <v>26</v>
      </c>
      <c r="AK9" s="18" t="str">
        <f>RIGHT("0"&amp;DAY(DATE($B$2,7,22)),2)&amp;"."&amp;RIGHT("0"&amp;MONTH(DATE($B$2,7,22)),2)&amp;"."&amp;YEAR(DATE($B$2,7,22))</f>
        <v>22.07.2026</v>
      </c>
      <c r="AL9" s="3" t="s">
        <v>23</v>
      </c>
      <c r="AM9" s="14">
        <f>DATE($B$2,7,22)</f>
        <v>46225</v>
      </c>
      <c r="AN9" s="15" t="s">
        <v>23</v>
      </c>
    </row>
    <row r="10" spans="1:40" ht="29.1" customHeight="1" x14ac:dyDescent="0.25">
      <c r="A10" s="20">
        <f>IF(AND(MONTH(DATE($B$2,1,1)-WEEKDAY(DATE($B$2,1,1),2)+1+7*4)&lt;&gt;1,MONTH((DATE($B$2,1,1)-WEEKDAY(DATE($B$2,1,1),2)+1+7*4)+6)&lt;&gt;1),"",INT(((DATE($B$2,1,1)-WEEKDAY(DATE($B$2,1,1),2)+1+7*4)-(DATE(YEAR((DATE($B$2,1,1)-WEEKDAY(DATE($B$2,1,1),2)+1+7*4)-WEEKDAY((DATE($B$2,1,1)-WEEKDAY(DATE($B$2,1,1),2)+1+7*4),2)+4),1,4)-WEEKDAY(DATE(YEAR((DATE($B$2,1,1)-WEEKDAY(DATE($B$2,1,1),2)+1+7*4)-WEEKDAY((DATE($B$2,1,1)-WEEKDAY(DATE($B$2,1,1),2)+1+7*4),2)+4),1,4),2)+1))/7)+1)</f>
        <v>5</v>
      </c>
      <c r="B10" s="8" t="str">
        <f>IF(MONTH(DATE($B$2,1,1)-WEEKDAY(DATE($B$2,1,1),2)+1+7*4+0)&lt;&gt;1,"",DAY(DATE($B$2,1,1)-WEEKDAY(DATE($B$2,1,1),2)+1+7*4+0)&amp;IFERROR(CHAR(10)&amp;VLOOKUP(DATE($B$2,1,1)-WEEKDAY(DATE($B$2,1,1),2)+1+7*4+0,$AM$3:$AN$15,2,FALSE),""))</f>
        <v>26</v>
      </c>
      <c r="C10" s="8" t="str">
        <f>IF(MONTH(DATE($B$2,1,1)-WEEKDAY(DATE($B$2,1,1),2)+1+7*4+1)&lt;&gt;1,"",DAY(DATE($B$2,1,1)-WEEKDAY(DATE($B$2,1,1),2)+1+7*4+1)&amp;IFERROR(CHAR(10)&amp;VLOOKUP(DATE($B$2,1,1)-WEEKDAY(DATE($B$2,1,1),2)+1+7*4+1,$AM$3:$AN$15,2,FALSE),""))</f>
        <v>27</v>
      </c>
      <c r="D10" s="8" t="str">
        <f>IF(MONTH(DATE($B$2,1,1)-WEEKDAY(DATE($B$2,1,1),2)+1+7*4+2)&lt;&gt;1,"",DAY(DATE($B$2,1,1)-WEEKDAY(DATE($B$2,1,1),2)+1+7*4+2)&amp;IFERROR(CHAR(10)&amp;VLOOKUP(DATE($B$2,1,1)-WEEKDAY(DATE($B$2,1,1),2)+1+7*4+2,$AM$3:$AN$15,2,FALSE),""))</f>
        <v>28</v>
      </c>
      <c r="E10" s="8" t="str">
        <f>IF(MONTH(DATE($B$2,1,1)-WEEKDAY(DATE($B$2,1,1),2)+1+7*4+3)&lt;&gt;1,"",DAY(DATE($B$2,1,1)-WEEKDAY(DATE($B$2,1,1),2)+1+7*4+3)&amp;IFERROR(CHAR(10)&amp;VLOOKUP(DATE($B$2,1,1)-WEEKDAY(DATE($B$2,1,1),2)+1+7*4+3,$AM$3:$AN$15,2,FALSE),""))</f>
        <v>29</v>
      </c>
      <c r="F10" s="8" t="str">
        <f>IF(MONTH(DATE($B$2,1,1)-WEEKDAY(DATE($B$2,1,1),2)+1+7*4+4)&lt;&gt;1,"",DAY(DATE($B$2,1,1)-WEEKDAY(DATE($B$2,1,1),2)+1+7*4+4)&amp;IFERROR(CHAR(10)&amp;VLOOKUP(DATE($B$2,1,1)-WEEKDAY(DATE($B$2,1,1),2)+1+7*4+4,$AM$3:$AN$15,2,FALSE),""))</f>
        <v>30</v>
      </c>
      <c r="G10" s="9" t="str">
        <f>IF(MONTH(DATE($B$2,1,1)-WEEKDAY(DATE($B$2,1,1),2)+1+7*4+5)&lt;&gt;1,"",DAY(DATE($B$2,1,1)-WEEKDAY(DATE($B$2,1,1),2)+1+7*4+5)&amp;IFERROR(CHAR(10)&amp;VLOOKUP(DATE($B$2,1,1)-WEEKDAY(DATE($B$2,1,1),2)+1+7*4+5,$AM$3:$AN$15,2,FALSE),""))</f>
        <v>31</v>
      </c>
      <c r="H10" s="10" t="str">
        <f>IF(MONTH(DATE($B$2,1,1)-WEEKDAY(DATE($B$2,1,1),2)+1+7*4+6)&lt;&gt;1,"",DAY(DATE($B$2,1,1)-WEEKDAY(DATE($B$2,1,1),2)+1+7*4+6)&amp;IFERROR(CHAR(10)&amp;VLOOKUP(DATE($B$2,1,1)-WEEKDAY(DATE($B$2,1,1),2)+1+7*4+6,$AM$3:$AN$15,2,FALSE),""))</f>
        <v/>
      </c>
      <c r="J10" s="20">
        <f>IF(AND(MONTH(DATE($B$2,2,1)-WEEKDAY(DATE($B$2,2,1),2)+1+7*4)&lt;&gt;2,MONTH((DATE($B$2,2,1)-WEEKDAY(DATE($B$2,2,1),2)+1+7*4)+6)&lt;&gt;2),"",INT(((DATE($B$2,2,1)-WEEKDAY(DATE($B$2,2,1),2)+1+7*4)-(DATE(YEAR((DATE($B$2,2,1)-WEEKDAY(DATE($B$2,2,1),2)+1+7*4)-WEEKDAY((DATE($B$2,2,1)-WEEKDAY(DATE($B$2,2,1),2)+1+7*4),2)+4),1,4)-WEEKDAY(DATE(YEAR((DATE($B$2,2,1)-WEEKDAY(DATE($B$2,2,1),2)+1+7*4)-WEEKDAY((DATE($B$2,2,1)-WEEKDAY(DATE($B$2,2,1),2)+1+7*4),2)+4),1,4),2)+1))/7)+1)</f>
        <v>9</v>
      </c>
      <c r="K10" s="8" t="str">
        <f>IF(MONTH(DATE($B$2,2,1)-WEEKDAY(DATE($B$2,2,1),2)+1+7*4+0)&lt;&gt;2,"",DAY(DATE($B$2,2,1)-WEEKDAY(DATE($B$2,2,1),2)+1+7*4+0)&amp;IFERROR(CHAR(10)&amp;VLOOKUP(DATE($B$2,2,1)-WEEKDAY(DATE($B$2,2,1),2)+1+7*4+0,$AM$3:$AN$15,2,FALSE),""))</f>
        <v>23</v>
      </c>
      <c r="L10" s="8" t="str">
        <f>IF(MONTH(DATE($B$2,2,1)-WEEKDAY(DATE($B$2,2,1),2)+1+7*4+1)&lt;&gt;2,"",DAY(DATE($B$2,2,1)-WEEKDAY(DATE($B$2,2,1),2)+1+7*4+1)&amp;IFERROR(CHAR(10)&amp;VLOOKUP(DATE($B$2,2,1)-WEEKDAY(DATE($B$2,2,1),2)+1+7*4+1,$AM$3:$AN$15,2,FALSE),""))</f>
        <v>24</v>
      </c>
      <c r="M10" s="8" t="str">
        <f>IF(MONTH(DATE($B$2,2,1)-WEEKDAY(DATE($B$2,2,1),2)+1+7*4+2)&lt;&gt;2,"",DAY(DATE($B$2,2,1)-WEEKDAY(DATE($B$2,2,1),2)+1+7*4+2)&amp;IFERROR(CHAR(10)&amp;VLOOKUP(DATE($B$2,2,1)-WEEKDAY(DATE($B$2,2,1),2)+1+7*4+2,$AM$3:$AN$15,2,FALSE),""))</f>
        <v>25</v>
      </c>
      <c r="N10" s="8" t="str">
        <f>IF(MONTH(DATE($B$2,2,1)-WEEKDAY(DATE($B$2,2,1),2)+1+7*4+3)&lt;&gt;2,"",DAY(DATE($B$2,2,1)-WEEKDAY(DATE($B$2,2,1),2)+1+7*4+3)&amp;IFERROR(CHAR(10)&amp;VLOOKUP(DATE($B$2,2,1)-WEEKDAY(DATE($B$2,2,1),2)+1+7*4+3,$AM$3:$AN$15,2,FALSE),""))</f>
        <v>26</v>
      </c>
      <c r="O10" s="8" t="str">
        <f>IF(MONTH(DATE($B$2,2,1)-WEEKDAY(DATE($B$2,2,1),2)+1+7*4+4)&lt;&gt;2,"",DAY(DATE($B$2,2,1)-WEEKDAY(DATE($B$2,2,1),2)+1+7*4+4)&amp;IFERROR(CHAR(10)&amp;VLOOKUP(DATE($B$2,2,1)-WEEKDAY(DATE($B$2,2,1),2)+1+7*4+4,$AM$3:$AN$15,2,FALSE),""))</f>
        <v>27</v>
      </c>
      <c r="P10" s="9" t="str">
        <f>IF(MONTH(DATE($B$2,2,1)-WEEKDAY(DATE($B$2,2,1),2)+1+7*4+5)&lt;&gt;2,"",DAY(DATE($B$2,2,1)-WEEKDAY(DATE($B$2,2,1),2)+1+7*4+5)&amp;IFERROR(CHAR(10)&amp;VLOOKUP(DATE($B$2,2,1)-WEEKDAY(DATE($B$2,2,1),2)+1+7*4+5,$AM$3:$AN$15,2,FALSE),""))</f>
        <v>28</v>
      </c>
      <c r="Q10" s="10" t="str">
        <f>IF(MONTH(DATE($B$2,2,1)-WEEKDAY(DATE($B$2,2,1),2)+1+7*4+6)&lt;&gt;2,"",DAY(DATE($B$2,2,1)-WEEKDAY(DATE($B$2,2,1),2)+1+7*4+6)&amp;IFERROR(CHAR(10)&amp;VLOOKUP(DATE($B$2,2,1)-WEEKDAY(DATE($B$2,2,1),2)+1+7*4+6,$AM$3:$AN$15,2,FALSE),""))</f>
        <v/>
      </c>
      <c r="S10" s="20">
        <f>IF(AND(MONTH(DATE($B$2,3,1)-WEEKDAY(DATE($B$2,3,1),2)+1+7*4)&lt;&gt;3,MONTH((DATE($B$2,3,1)-WEEKDAY(DATE($B$2,3,1),2)+1+7*4)+6)&lt;&gt;3),"",INT(((DATE($B$2,3,1)-WEEKDAY(DATE($B$2,3,1),2)+1+7*4)-(DATE(YEAR((DATE($B$2,3,1)-WEEKDAY(DATE($B$2,3,1),2)+1+7*4)-WEEKDAY((DATE($B$2,3,1)-WEEKDAY(DATE($B$2,3,1),2)+1+7*4),2)+4),1,4)-WEEKDAY(DATE(YEAR((DATE($B$2,3,1)-WEEKDAY(DATE($B$2,3,1),2)+1+7*4)-WEEKDAY((DATE($B$2,3,1)-WEEKDAY(DATE($B$2,3,1),2)+1+7*4),2)+4),1,4),2)+1))/7)+1)</f>
        <v>13</v>
      </c>
      <c r="T10" s="8" t="str">
        <f>IF(MONTH(DATE($B$2,3,1)-WEEKDAY(DATE($B$2,3,1),2)+1+7*4+0)&lt;&gt;3,"",DAY(DATE($B$2,3,1)-WEEKDAY(DATE($B$2,3,1),2)+1+7*4+0)&amp;IFERROR(CHAR(10)&amp;VLOOKUP(DATE($B$2,3,1)-WEEKDAY(DATE($B$2,3,1),2)+1+7*4+0,$AM$3:$AN$15,2,FALSE),""))</f>
        <v>23</v>
      </c>
      <c r="U10" s="8" t="str">
        <f>IF(MONTH(DATE($B$2,3,1)-WEEKDAY(DATE($B$2,3,1),2)+1+7*4+1)&lt;&gt;3,"",DAY(DATE($B$2,3,1)-WEEKDAY(DATE($B$2,3,1),2)+1+7*4+1)&amp;IFERROR(CHAR(10)&amp;VLOOKUP(DATE($B$2,3,1)-WEEKDAY(DATE($B$2,3,1),2)+1+7*4+1,$AM$3:$AN$15,2,FALSE),""))</f>
        <v>24</v>
      </c>
      <c r="V10" s="8" t="str">
        <f>IF(MONTH(DATE($B$2,3,1)-WEEKDAY(DATE($B$2,3,1),2)+1+7*4+2)&lt;&gt;3,"",DAY(DATE($B$2,3,1)-WEEKDAY(DATE($B$2,3,1),2)+1+7*4+2)&amp;IFERROR(CHAR(10)&amp;VLOOKUP(DATE($B$2,3,1)-WEEKDAY(DATE($B$2,3,1),2)+1+7*4+2,$AM$3:$AN$15,2,FALSE),""))</f>
        <v>25</v>
      </c>
      <c r="W10" s="8" t="str">
        <f>IF(MONTH(DATE($B$2,3,1)-WEEKDAY(DATE($B$2,3,1),2)+1+7*4+3)&lt;&gt;3,"",DAY(DATE($B$2,3,1)-WEEKDAY(DATE($B$2,3,1),2)+1+7*4+3)&amp;IFERROR(CHAR(10)&amp;VLOOKUP(DATE($B$2,3,1)-WEEKDAY(DATE($B$2,3,1),2)+1+7*4+3,$AM$3:$AN$15,2,FALSE),""))</f>
        <v>26</v>
      </c>
      <c r="X10" s="8" t="str">
        <f>IF(MONTH(DATE($B$2,3,1)-WEEKDAY(DATE($B$2,3,1),2)+1+7*4+4)&lt;&gt;3,"",DAY(DATE($B$2,3,1)-WEEKDAY(DATE($B$2,3,1),2)+1+7*4+4)&amp;IFERROR(CHAR(10)&amp;VLOOKUP(DATE($B$2,3,1)-WEEKDAY(DATE($B$2,3,1),2)+1+7*4+4,$AM$3:$AN$15,2,FALSE),""))</f>
        <v>27</v>
      </c>
      <c r="Y10" s="9" t="str">
        <f>IF(MONTH(DATE($B$2,3,1)-WEEKDAY(DATE($B$2,3,1),2)+1+7*4+5)&lt;&gt;3,"",DAY(DATE($B$2,3,1)-WEEKDAY(DATE($B$2,3,1),2)+1+7*4+5)&amp;IFERROR(CHAR(10)&amp;VLOOKUP(DATE($B$2,3,1)-WEEKDAY(DATE($B$2,3,1),2)+1+7*4+5,$AM$3:$AN$15,2,FALSE),""))</f>
        <v>28</v>
      </c>
      <c r="Z10" s="10" t="str">
        <f>IF(MONTH(DATE($B$2,3,1)-WEEKDAY(DATE($B$2,3,1),2)+1+7*4+6)&lt;&gt;3,"",DAY(DATE($B$2,3,1)-WEEKDAY(DATE($B$2,3,1),2)+1+7*4+6)&amp;IFERROR(CHAR(10)&amp;VLOOKUP(DATE($B$2,3,1)-WEEKDAY(DATE($B$2,3,1),2)+1+7*4+6,$AM$3:$AN$15,2,FALSE),""))</f>
        <v>29</v>
      </c>
      <c r="AB10" s="20">
        <f>IF(AND(MONTH(DATE($B$2,4,1)-WEEKDAY(DATE($B$2,4,1),2)+1+7*4)&lt;&gt;4,MONTH((DATE($B$2,4,1)-WEEKDAY(DATE($B$2,4,1),2)+1+7*4)+6)&lt;&gt;4),"",INT(((DATE($B$2,4,1)-WEEKDAY(DATE($B$2,4,1),2)+1+7*4)-(DATE(YEAR((DATE($B$2,4,1)-WEEKDAY(DATE($B$2,4,1),2)+1+7*4)-WEEKDAY((DATE($B$2,4,1)-WEEKDAY(DATE($B$2,4,1),2)+1+7*4),2)+4),1,4)-WEEKDAY(DATE(YEAR((DATE($B$2,4,1)-WEEKDAY(DATE($B$2,4,1),2)+1+7*4)-WEEKDAY((DATE($B$2,4,1)-WEEKDAY(DATE($B$2,4,1),2)+1+7*4),2)+4),1,4),2)+1))/7)+1)</f>
        <v>18</v>
      </c>
      <c r="AC10" s="8" t="str">
        <f>IF(MONTH(DATE($B$2,4,1)-WEEKDAY(DATE($B$2,4,1),2)+1+7*4+0)&lt;&gt;4,"",DAY(DATE($B$2,4,1)-WEEKDAY(DATE($B$2,4,1),2)+1+7*4+0)&amp;IFERROR(CHAR(10)&amp;VLOOKUP(DATE($B$2,4,1)-WEEKDAY(DATE($B$2,4,1),2)+1+7*4+0,$AM$3:$AN$15,2,FALSE),""))</f>
        <v>27</v>
      </c>
      <c r="AD10" s="8" t="str">
        <f>IF(MONTH(DATE($B$2,4,1)-WEEKDAY(DATE($B$2,4,1),2)+1+7*4+1)&lt;&gt;4,"",DAY(DATE($B$2,4,1)-WEEKDAY(DATE($B$2,4,1),2)+1+7*4+1)&amp;IFERROR(CHAR(10)&amp;VLOOKUP(DATE($B$2,4,1)-WEEKDAY(DATE($B$2,4,1),2)+1+7*4+1,$AM$3:$AN$15,2,FALSE),""))</f>
        <v>28</v>
      </c>
      <c r="AE10" s="8" t="str">
        <f>IF(MONTH(DATE($B$2,4,1)-WEEKDAY(DATE($B$2,4,1),2)+1+7*4+2)&lt;&gt;4,"",DAY(DATE($B$2,4,1)-WEEKDAY(DATE($B$2,4,1),2)+1+7*4+2)&amp;IFERROR(CHAR(10)&amp;VLOOKUP(DATE($B$2,4,1)-WEEKDAY(DATE($B$2,4,1),2)+1+7*4+2,$AM$3:$AN$15,2,FALSE),""))</f>
        <v>29</v>
      </c>
      <c r="AF10" s="8" t="str">
        <f>IF(MONTH(DATE($B$2,4,1)-WEEKDAY(DATE($B$2,4,1),2)+1+7*4+3)&lt;&gt;4,"",DAY(DATE($B$2,4,1)-WEEKDAY(DATE($B$2,4,1),2)+1+7*4+3)&amp;IFERROR(CHAR(10)&amp;VLOOKUP(DATE($B$2,4,1)-WEEKDAY(DATE($B$2,4,1),2)+1+7*4+3,$AM$3:$AN$15,2,FALSE),""))</f>
        <v>30</v>
      </c>
      <c r="AG10" s="8" t="str">
        <f>IF(MONTH(DATE($B$2,4,1)-WEEKDAY(DATE($B$2,4,1),2)+1+7*4+4)&lt;&gt;4,"",DAY(DATE($B$2,4,1)-WEEKDAY(DATE($B$2,4,1),2)+1+7*4+4)&amp;IFERROR(CHAR(10)&amp;VLOOKUP(DATE($B$2,4,1)-WEEKDAY(DATE($B$2,4,1),2)+1+7*4+4,$AM$3:$AN$15,2,FALSE),""))</f>
        <v/>
      </c>
      <c r="AH10" s="9" t="str">
        <f>IF(MONTH(DATE($B$2,4,1)-WEEKDAY(DATE($B$2,4,1),2)+1+7*4+5)&lt;&gt;4,"",DAY(DATE($B$2,4,1)-WEEKDAY(DATE($B$2,4,1),2)+1+7*4+5)&amp;IFERROR(CHAR(10)&amp;VLOOKUP(DATE($B$2,4,1)-WEEKDAY(DATE($B$2,4,1),2)+1+7*4+5,$AM$3:$AN$15,2,FALSE),""))</f>
        <v/>
      </c>
      <c r="AI10" s="10" t="str">
        <f>IF(MONTH(DATE($B$2,4,1)-WEEKDAY(DATE($B$2,4,1),2)+1+7*4+6)&lt;&gt;4,"",DAY(DATE($B$2,4,1)-WEEKDAY(DATE($B$2,4,1),2)+1+7*4+6)&amp;IFERROR(CHAR(10)&amp;VLOOKUP(DATE($B$2,4,1)-WEEKDAY(DATE($B$2,4,1),2)+1+7*4+6,$AM$3:$AN$15,2,FALSE),""))</f>
        <v/>
      </c>
      <c r="AK10" s="19" t="str">
        <f>RIGHT("0"&amp;DAY(DATE($B$2,8,5)),2)&amp;"."&amp;RIGHT("0"&amp;MONTH(DATE($B$2,8,5)),2)&amp;"."&amp;YEAR(DATE($B$2,8,5))</f>
        <v>05.08.2026</v>
      </c>
      <c r="AL10" s="4" t="s">
        <v>24</v>
      </c>
      <c r="AM10" s="16">
        <f>DATE($B$2,8,5)</f>
        <v>46239</v>
      </c>
      <c r="AN10" s="17" t="s">
        <v>24</v>
      </c>
    </row>
    <row r="11" spans="1:40" ht="29.1" customHeight="1" x14ac:dyDescent="0.25">
      <c r="A11" s="21" t="str">
        <f>IF(AND(MONTH(DATE($B$2,1,1)-WEEKDAY(DATE($B$2,1,1),2)+1+7*5)&lt;&gt;1,MONTH((DATE($B$2,1,1)-WEEKDAY(DATE($B$2,1,1),2)+1+7*5)+6)&lt;&gt;1),"",INT(((DATE($B$2,1,1)-WEEKDAY(DATE($B$2,1,1),2)+1+7*5)-(DATE(YEAR((DATE($B$2,1,1)-WEEKDAY(DATE($B$2,1,1),2)+1+7*5)-WEEKDAY((DATE($B$2,1,1)-WEEKDAY(DATE($B$2,1,1),2)+1+7*5),2)+4),1,4)-WEEKDAY(DATE(YEAR((DATE($B$2,1,1)-WEEKDAY(DATE($B$2,1,1),2)+1+7*5)-WEEKDAY((DATE($B$2,1,1)-WEEKDAY(DATE($B$2,1,1),2)+1+7*5),2)+4),1,4),2)+1))/7)+1)</f>
        <v/>
      </c>
      <c r="B11" s="11" t="str">
        <f>IF(MONTH(DATE($B$2,1,1)-WEEKDAY(DATE($B$2,1,1),2)+1+7*5+0)&lt;&gt;1,"",DAY(DATE($B$2,1,1)-WEEKDAY(DATE($B$2,1,1),2)+1+7*5+0)&amp;IFERROR(CHAR(10)&amp;VLOOKUP(DATE($B$2,1,1)-WEEKDAY(DATE($B$2,1,1),2)+1+7*5+0,$AM$3:$AN$15,2,FALSE),""))</f>
        <v/>
      </c>
      <c r="C11" s="11" t="str">
        <f>IF(MONTH(DATE($B$2,1,1)-WEEKDAY(DATE($B$2,1,1),2)+1+7*5+1)&lt;&gt;1,"",DAY(DATE($B$2,1,1)-WEEKDAY(DATE($B$2,1,1),2)+1+7*5+1)&amp;IFERROR(CHAR(10)&amp;VLOOKUP(DATE($B$2,1,1)-WEEKDAY(DATE($B$2,1,1),2)+1+7*5+1,$AM$3:$AN$15,2,FALSE),""))</f>
        <v/>
      </c>
      <c r="D11" s="11" t="str">
        <f>IF(MONTH(DATE($B$2,1,1)-WEEKDAY(DATE($B$2,1,1),2)+1+7*5+2)&lt;&gt;1,"",DAY(DATE($B$2,1,1)-WEEKDAY(DATE($B$2,1,1),2)+1+7*5+2)&amp;IFERROR(CHAR(10)&amp;VLOOKUP(DATE($B$2,1,1)-WEEKDAY(DATE($B$2,1,1),2)+1+7*5+2,$AM$3:$AN$15,2,FALSE),""))</f>
        <v/>
      </c>
      <c r="E11" s="11" t="str">
        <f>IF(MONTH(DATE($B$2,1,1)-WEEKDAY(DATE($B$2,1,1),2)+1+7*5+3)&lt;&gt;1,"",DAY(DATE($B$2,1,1)-WEEKDAY(DATE($B$2,1,1),2)+1+7*5+3)&amp;IFERROR(CHAR(10)&amp;VLOOKUP(DATE($B$2,1,1)-WEEKDAY(DATE($B$2,1,1),2)+1+7*5+3,$AM$3:$AN$15,2,FALSE),""))</f>
        <v/>
      </c>
      <c r="F11" s="11" t="str">
        <f>IF(MONTH(DATE($B$2,1,1)-WEEKDAY(DATE($B$2,1,1),2)+1+7*5+4)&lt;&gt;1,"",DAY(DATE($B$2,1,1)-WEEKDAY(DATE($B$2,1,1),2)+1+7*5+4)&amp;IFERROR(CHAR(10)&amp;VLOOKUP(DATE($B$2,1,1)-WEEKDAY(DATE($B$2,1,1),2)+1+7*5+4,$AM$3:$AN$15,2,FALSE),""))</f>
        <v/>
      </c>
      <c r="G11" s="12" t="str">
        <f>IF(MONTH(DATE($B$2,1,1)-WEEKDAY(DATE($B$2,1,1),2)+1+7*5+5)&lt;&gt;1,"",DAY(DATE($B$2,1,1)-WEEKDAY(DATE($B$2,1,1),2)+1+7*5+5)&amp;IFERROR(CHAR(10)&amp;VLOOKUP(DATE($B$2,1,1)-WEEKDAY(DATE($B$2,1,1),2)+1+7*5+5,$AM$3:$AN$15,2,FALSE),""))</f>
        <v/>
      </c>
      <c r="H11" s="13" t="str">
        <f>IF(MONTH(DATE($B$2,1,1)-WEEKDAY(DATE($B$2,1,1),2)+1+7*5+6)&lt;&gt;1,"",DAY(DATE($B$2,1,1)-WEEKDAY(DATE($B$2,1,1),2)+1+7*5+6)&amp;IFERROR(CHAR(10)&amp;VLOOKUP(DATE($B$2,1,1)-WEEKDAY(DATE($B$2,1,1),2)+1+7*5+6,$AM$3:$AN$15,2,FALSE),""))</f>
        <v/>
      </c>
      <c r="J11" s="21" t="str">
        <f>IF(AND(MONTH(DATE($B$2,2,1)-WEEKDAY(DATE($B$2,2,1),2)+1+7*5)&lt;&gt;2,MONTH((DATE($B$2,2,1)-WEEKDAY(DATE($B$2,2,1),2)+1+7*5)+6)&lt;&gt;2),"",INT(((DATE($B$2,2,1)-WEEKDAY(DATE($B$2,2,1),2)+1+7*5)-(DATE(YEAR((DATE($B$2,2,1)-WEEKDAY(DATE($B$2,2,1),2)+1+7*5)-WEEKDAY((DATE($B$2,2,1)-WEEKDAY(DATE($B$2,2,1),2)+1+7*5),2)+4),1,4)-WEEKDAY(DATE(YEAR((DATE($B$2,2,1)-WEEKDAY(DATE($B$2,2,1),2)+1+7*5)-WEEKDAY((DATE($B$2,2,1)-WEEKDAY(DATE($B$2,2,1),2)+1+7*5),2)+4),1,4),2)+1))/7)+1)</f>
        <v/>
      </c>
      <c r="K11" s="11" t="str">
        <f>IF(MONTH(DATE($B$2,2,1)-WEEKDAY(DATE($B$2,2,1),2)+1+7*5+0)&lt;&gt;2,"",DAY(DATE($B$2,2,1)-WEEKDAY(DATE($B$2,2,1),2)+1+7*5+0)&amp;IFERROR(CHAR(10)&amp;VLOOKUP(DATE($B$2,2,1)-WEEKDAY(DATE($B$2,2,1),2)+1+7*5+0,$AM$3:$AN$15,2,FALSE),""))</f>
        <v/>
      </c>
      <c r="L11" s="11" t="str">
        <f>IF(MONTH(DATE($B$2,2,1)-WEEKDAY(DATE($B$2,2,1),2)+1+7*5+1)&lt;&gt;2,"",DAY(DATE($B$2,2,1)-WEEKDAY(DATE($B$2,2,1),2)+1+7*5+1)&amp;IFERROR(CHAR(10)&amp;VLOOKUP(DATE($B$2,2,1)-WEEKDAY(DATE($B$2,2,1),2)+1+7*5+1,$AM$3:$AN$15,2,FALSE),""))</f>
        <v/>
      </c>
      <c r="M11" s="11" t="str">
        <f>IF(MONTH(DATE($B$2,2,1)-WEEKDAY(DATE($B$2,2,1),2)+1+7*5+2)&lt;&gt;2,"",DAY(DATE($B$2,2,1)-WEEKDAY(DATE($B$2,2,1),2)+1+7*5+2)&amp;IFERROR(CHAR(10)&amp;VLOOKUP(DATE($B$2,2,1)-WEEKDAY(DATE($B$2,2,1),2)+1+7*5+2,$AM$3:$AN$15,2,FALSE),""))</f>
        <v/>
      </c>
      <c r="N11" s="11" t="str">
        <f>IF(MONTH(DATE($B$2,2,1)-WEEKDAY(DATE($B$2,2,1),2)+1+7*5+3)&lt;&gt;2,"",DAY(DATE($B$2,2,1)-WEEKDAY(DATE($B$2,2,1),2)+1+7*5+3)&amp;IFERROR(CHAR(10)&amp;VLOOKUP(DATE($B$2,2,1)-WEEKDAY(DATE($B$2,2,1),2)+1+7*5+3,$AM$3:$AN$15,2,FALSE),""))</f>
        <v/>
      </c>
      <c r="O11" s="11" t="str">
        <f>IF(MONTH(DATE($B$2,2,1)-WEEKDAY(DATE($B$2,2,1),2)+1+7*5+4)&lt;&gt;2,"",DAY(DATE($B$2,2,1)-WEEKDAY(DATE($B$2,2,1),2)+1+7*5+4)&amp;IFERROR(CHAR(10)&amp;VLOOKUP(DATE($B$2,2,1)-WEEKDAY(DATE($B$2,2,1),2)+1+7*5+4,$AM$3:$AN$15,2,FALSE),""))</f>
        <v/>
      </c>
      <c r="P11" s="12" t="str">
        <f>IF(MONTH(DATE($B$2,2,1)-WEEKDAY(DATE($B$2,2,1),2)+1+7*5+5)&lt;&gt;2,"",DAY(DATE($B$2,2,1)-WEEKDAY(DATE($B$2,2,1),2)+1+7*5+5)&amp;IFERROR(CHAR(10)&amp;VLOOKUP(DATE($B$2,2,1)-WEEKDAY(DATE($B$2,2,1),2)+1+7*5+5,$AM$3:$AN$15,2,FALSE),""))</f>
        <v/>
      </c>
      <c r="Q11" s="13" t="str">
        <f>IF(MONTH(DATE($B$2,2,1)-WEEKDAY(DATE($B$2,2,1),2)+1+7*5+6)&lt;&gt;2,"",DAY(DATE($B$2,2,1)-WEEKDAY(DATE($B$2,2,1),2)+1+7*5+6)&amp;IFERROR(CHAR(10)&amp;VLOOKUP(DATE($B$2,2,1)-WEEKDAY(DATE($B$2,2,1),2)+1+7*5+6,$AM$3:$AN$15,2,FALSE),""))</f>
        <v/>
      </c>
      <c r="S11" s="21">
        <f>IF(AND(MONTH(DATE($B$2,3,1)-WEEKDAY(DATE($B$2,3,1),2)+1+7*5)&lt;&gt;3,MONTH((DATE($B$2,3,1)-WEEKDAY(DATE($B$2,3,1),2)+1+7*5)+6)&lt;&gt;3),"",INT(((DATE($B$2,3,1)-WEEKDAY(DATE($B$2,3,1),2)+1+7*5)-(DATE(YEAR((DATE($B$2,3,1)-WEEKDAY(DATE($B$2,3,1),2)+1+7*5)-WEEKDAY((DATE($B$2,3,1)-WEEKDAY(DATE($B$2,3,1),2)+1+7*5),2)+4),1,4)-WEEKDAY(DATE(YEAR((DATE($B$2,3,1)-WEEKDAY(DATE($B$2,3,1),2)+1+7*5)-WEEKDAY((DATE($B$2,3,1)-WEEKDAY(DATE($B$2,3,1),2)+1+7*5),2)+4),1,4),2)+1))/7)+1)</f>
        <v>14</v>
      </c>
      <c r="T11" s="11" t="str">
        <f>IF(MONTH(DATE($B$2,3,1)-WEEKDAY(DATE($B$2,3,1),2)+1+7*5+0)&lt;&gt;3,"",DAY(DATE($B$2,3,1)-WEEKDAY(DATE($B$2,3,1),2)+1+7*5+0)&amp;IFERROR(CHAR(10)&amp;VLOOKUP(DATE($B$2,3,1)-WEEKDAY(DATE($B$2,3,1),2)+1+7*5+0,$AM$3:$AN$15,2,FALSE),""))</f>
        <v>30</v>
      </c>
      <c r="U11" s="11" t="str">
        <f>IF(MONTH(DATE($B$2,3,1)-WEEKDAY(DATE($B$2,3,1),2)+1+7*5+1)&lt;&gt;3,"",DAY(DATE($B$2,3,1)-WEEKDAY(DATE($B$2,3,1),2)+1+7*5+1)&amp;IFERROR(CHAR(10)&amp;VLOOKUP(DATE($B$2,3,1)-WEEKDAY(DATE($B$2,3,1),2)+1+7*5+1,$AM$3:$AN$15,2,FALSE),""))</f>
        <v>31</v>
      </c>
      <c r="V11" s="11" t="str">
        <f>IF(MONTH(DATE($B$2,3,1)-WEEKDAY(DATE($B$2,3,1),2)+1+7*5+2)&lt;&gt;3,"",DAY(DATE($B$2,3,1)-WEEKDAY(DATE($B$2,3,1),2)+1+7*5+2)&amp;IFERROR(CHAR(10)&amp;VLOOKUP(DATE($B$2,3,1)-WEEKDAY(DATE($B$2,3,1),2)+1+7*5+2,$AM$3:$AN$15,2,FALSE),""))</f>
        <v/>
      </c>
      <c r="W11" s="11" t="str">
        <f>IF(MONTH(DATE($B$2,3,1)-WEEKDAY(DATE($B$2,3,1),2)+1+7*5+3)&lt;&gt;3,"",DAY(DATE($B$2,3,1)-WEEKDAY(DATE($B$2,3,1),2)+1+7*5+3)&amp;IFERROR(CHAR(10)&amp;VLOOKUP(DATE($B$2,3,1)-WEEKDAY(DATE($B$2,3,1),2)+1+7*5+3,$AM$3:$AN$15,2,FALSE),""))</f>
        <v/>
      </c>
      <c r="X11" s="11" t="str">
        <f>IF(MONTH(DATE($B$2,3,1)-WEEKDAY(DATE($B$2,3,1),2)+1+7*5+4)&lt;&gt;3,"",DAY(DATE($B$2,3,1)-WEEKDAY(DATE($B$2,3,1),2)+1+7*5+4)&amp;IFERROR(CHAR(10)&amp;VLOOKUP(DATE($B$2,3,1)-WEEKDAY(DATE($B$2,3,1),2)+1+7*5+4,$AM$3:$AN$15,2,FALSE),""))</f>
        <v/>
      </c>
      <c r="Y11" s="12" t="str">
        <f>IF(MONTH(DATE($B$2,3,1)-WEEKDAY(DATE($B$2,3,1),2)+1+7*5+5)&lt;&gt;3,"",DAY(DATE($B$2,3,1)-WEEKDAY(DATE($B$2,3,1),2)+1+7*5+5)&amp;IFERROR(CHAR(10)&amp;VLOOKUP(DATE($B$2,3,1)-WEEKDAY(DATE($B$2,3,1),2)+1+7*5+5,$AM$3:$AN$15,2,FALSE),""))</f>
        <v/>
      </c>
      <c r="Z11" s="13" t="str">
        <f>IF(MONTH(DATE($B$2,3,1)-WEEKDAY(DATE($B$2,3,1),2)+1+7*5+6)&lt;&gt;3,"",DAY(DATE($B$2,3,1)-WEEKDAY(DATE($B$2,3,1),2)+1+7*5+6)&amp;IFERROR(CHAR(10)&amp;VLOOKUP(DATE($B$2,3,1)-WEEKDAY(DATE($B$2,3,1),2)+1+7*5+6,$AM$3:$AN$15,2,FALSE),""))</f>
        <v/>
      </c>
      <c r="AB11" s="21" t="str">
        <f>IF(AND(MONTH(DATE($B$2,4,1)-WEEKDAY(DATE($B$2,4,1),2)+1+7*5)&lt;&gt;4,MONTH((DATE($B$2,4,1)-WEEKDAY(DATE($B$2,4,1),2)+1+7*5)+6)&lt;&gt;4),"",INT(((DATE($B$2,4,1)-WEEKDAY(DATE($B$2,4,1),2)+1+7*5)-(DATE(YEAR((DATE($B$2,4,1)-WEEKDAY(DATE($B$2,4,1),2)+1+7*5)-WEEKDAY((DATE($B$2,4,1)-WEEKDAY(DATE($B$2,4,1),2)+1+7*5),2)+4),1,4)-WEEKDAY(DATE(YEAR((DATE($B$2,4,1)-WEEKDAY(DATE($B$2,4,1),2)+1+7*5)-WEEKDAY((DATE($B$2,4,1)-WEEKDAY(DATE($B$2,4,1),2)+1+7*5),2)+4),1,4),2)+1))/7)+1)</f>
        <v/>
      </c>
      <c r="AC11" s="11" t="str">
        <f>IF(MONTH(DATE($B$2,4,1)-WEEKDAY(DATE($B$2,4,1),2)+1+7*5+0)&lt;&gt;4,"",DAY(DATE($B$2,4,1)-WEEKDAY(DATE($B$2,4,1),2)+1+7*5+0)&amp;IFERROR(CHAR(10)&amp;VLOOKUP(DATE($B$2,4,1)-WEEKDAY(DATE($B$2,4,1),2)+1+7*5+0,$AM$3:$AN$15,2,FALSE),""))</f>
        <v/>
      </c>
      <c r="AD11" s="11" t="str">
        <f>IF(MONTH(DATE($B$2,4,1)-WEEKDAY(DATE($B$2,4,1),2)+1+7*5+1)&lt;&gt;4,"",DAY(DATE($B$2,4,1)-WEEKDAY(DATE($B$2,4,1),2)+1+7*5+1)&amp;IFERROR(CHAR(10)&amp;VLOOKUP(DATE($B$2,4,1)-WEEKDAY(DATE($B$2,4,1),2)+1+7*5+1,$AM$3:$AN$15,2,FALSE),""))</f>
        <v/>
      </c>
      <c r="AE11" s="11" t="str">
        <f>IF(MONTH(DATE($B$2,4,1)-WEEKDAY(DATE($B$2,4,1),2)+1+7*5+2)&lt;&gt;4,"",DAY(DATE($B$2,4,1)-WEEKDAY(DATE($B$2,4,1),2)+1+7*5+2)&amp;IFERROR(CHAR(10)&amp;VLOOKUP(DATE($B$2,4,1)-WEEKDAY(DATE($B$2,4,1),2)+1+7*5+2,$AM$3:$AN$15,2,FALSE),""))</f>
        <v/>
      </c>
      <c r="AF11" s="11" t="str">
        <f>IF(MONTH(DATE($B$2,4,1)-WEEKDAY(DATE($B$2,4,1),2)+1+7*5+3)&lt;&gt;4,"",DAY(DATE($B$2,4,1)-WEEKDAY(DATE($B$2,4,1),2)+1+7*5+3)&amp;IFERROR(CHAR(10)&amp;VLOOKUP(DATE($B$2,4,1)-WEEKDAY(DATE($B$2,4,1),2)+1+7*5+3,$AM$3:$AN$15,2,FALSE),""))</f>
        <v/>
      </c>
      <c r="AG11" s="11" t="str">
        <f>IF(MONTH(DATE($B$2,4,1)-WEEKDAY(DATE($B$2,4,1),2)+1+7*5+4)&lt;&gt;4,"",DAY(DATE($B$2,4,1)-WEEKDAY(DATE($B$2,4,1),2)+1+7*5+4)&amp;IFERROR(CHAR(10)&amp;VLOOKUP(DATE($B$2,4,1)-WEEKDAY(DATE($B$2,4,1),2)+1+7*5+4,$AM$3:$AN$15,2,FALSE),""))</f>
        <v/>
      </c>
      <c r="AH11" s="12" t="str">
        <f>IF(MONTH(DATE($B$2,4,1)-WEEKDAY(DATE($B$2,4,1),2)+1+7*5+5)&lt;&gt;4,"",DAY(DATE($B$2,4,1)-WEEKDAY(DATE($B$2,4,1),2)+1+7*5+5)&amp;IFERROR(CHAR(10)&amp;VLOOKUP(DATE($B$2,4,1)-WEEKDAY(DATE($B$2,4,1),2)+1+7*5+5,$AM$3:$AN$15,2,FALSE),""))</f>
        <v/>
      </c>
      <c r="AI11" s="13" t="str">
        <f>IF(MONTH(DATE($B$2,4,1)-WEEKDAY(DATE($B$2,4,1),2)+1+7*5+6)&lt;&gt;4,"",DAY(DATE($B$2,4,1)-WEEKDAY(DATE($B$2,4,1),2)+1+7*5+6)&amp;IFERROR(CHAR(10)&amp;VLOOKUP(DATE($B$2,4,1)-WEEKDAY(DATE($B$2,4,1),2)+1+7*5+6,$AM$3:$AN$15,2,FALSE),""))</f>
        <v/>
      </c>
      <c r="AK11" s="18" t="str">
        <f>RIGHT("0"&amp;DAY(DATE($B$2,9,9)),2)&amp;"."&amp;RIGHT("0"&amp;MONTH(DATE($B$2,9,9)),2)&amp;"."&amp;YEAR(DATE($B$2,9,9))</f>
        <v>09.09.2026</v>
      </c>
      <c r="AL11" s="3" t="s">
        <v>25</v>
      </c>
      <c r="AM11" s="14">
        <f>DATE($B$2,9,9)</f>
        <v>46274</v>
      </c>
      <c r="AN11" s="15" t="s">
        <v>25</v>
      </c>
    </row>
    <row r="12" spans="1:40" ht="8.1" customHeight="1" x14ac:dyDescent="0.25">
      <c r="AK12" s="19" t="str">
        <f>RIGHT("0"&amp;DAY(DATE($B$2,10,3)),2)&amp;"."&amp;RIGHT("0"&amp;MONTH(DATE($B$2,10,3)),2)&amp;"."&amp;YEAR(DATE($B$2,10,3))</f>
        <v>03.10.2026</v>
      </c>
      <c r="AL12" s="4" t="s">
        <v>21</v>
      </c>
      <c r="AM12" s="16">
        <f>DATE($B$2,10,3)</f>
        <v>46298</v>
      </c>
      <c r="AN12" s="17" t="s">
        <v>21</v>
      </c>
    </row>
    <row r="13" spans="1:40" ht="20.100000000000001" customHeight="1" x14ac:dyDescent="0.25">
      <c r="A13" s="22" t="s">
        <v>26</v>
      </c>
      <c r="B13" s="23"/>
      <c r="C13" s="23"/>
      <c r="D13" s="23"/>
      <c r="E13" s="23"/>
      <c r="F13" s="23"/>
      <c r="G13" s="23"/>
      <c r="H13" s="24"/>
      <c r="J13" s="22" t="s">
        <v>27</v>
      </c>
      <c r="K13" s="23"/>
      <c r="L13" s="23"/>
      <c r="M13" s="23"/>
      <c r="N13" s="23"/>
      <c r="O13" s="23"/>
      <c r="P13" s="23"/>
      <c r="Q13" s="24"/>
      <c r="S13" s="22" t="s">
        <v>28</v>
      </c>
      <c r="T13" s="23"/>
      <c r="U13" s="23"/>
      <c r="V13" s="23"/>
      <c r="W13" s="23"/>
      <c r="X13" s="23"/>
      <c r="Y13" s="23"/>
      <c r="Z13" s="24"/>
      <c r="AB13" s="22" t="s">
        <v>29</v>
      </c>
      <c r="AC13" s="23"/>
      <c r="AD13" s="23"/>
      <c r="AE13" s="23"/>
      <c r="AF13" s="23"/>
      <c r="AG13" s="23"/>
      <c r="AH13" s="23"/>
      <c r="AI13" s="24"/>
      <c r="AK13" s="18" t="str">
        <f>RIGHT("0"&amp;DAY(DATE($B$2,11,20)),2)&amp;"."&amp;RIGHT("0"&amp;MONTH(DATE($B$2,11,20)),2)&amp;"."&amp;YEAR(DATE($B$2,11,20))</f>
        <v>20.11.2026</v>
      </c>
      <c r="AL13" s="3" t="s">
        <v>30</v>
      </c>
      <c r="AM13" s="14">
        <f>DATE($B$2,11,20)</f>
        <v>46346</v>
      </c>
      <c r="AN13" s="15" t="s">
        <v>30</v>
      </c>
    </row>
    <row r="14" spans="1:40" ht="18" customHeight="1" x14ac:dyDescent="0.25">
      <c r="A14" s="5" t="s">
        <v>11</v>
      </c>
      <c r="B14" s="2" t="s">
        <v>12</v>
      </c>
      <c r="C14" s="2" t="s">
        <v>13</v>
      </c>
      <c r="D14" s="2" t="s">
        <v>14</v>
      </c>
      <c r="E14" s="2" t="s">
        <v>15</v>
      </c>
      <c r="F14" s="2" t="s">
        <v>16</v>
      </c>
      <c r="G14" s="6" t="s">
        <v>17</v>
      </c>
      <c r="H14" s="7" t="s">
        <v>18</v>
      </c>
      <c r="J14" s="5" t="s">
        <v>11</v>
      </c>
      <c r="K14" s="2" t="s">
        <v>12</v>
      </c>
      <c r="L14" s="2" t="s">
        <v>13</v>
      </c>
      <c r="M14" s="2" t="s">
        <v>14</v>
      </c>
      <c r="N14" s="2" t="s">
        <v>15</v>
      </c>
      <c r="O14" s="2" t="s">
        <v>16</v>
      </c>
      <c r="P14" s="6" t="s">
        <v>17</v>
      </c>
      <c r="Q14" s="7" t="s">
        <v>18</v>
      </c>
      <c r="S14" s="5" t="s">
        <v>11</v>
      </c>
      <c r="T14" s="2" t="s">
        <v>12</v>
      </c>
      <c r="U14" s="2" t="s">
        <v>13</v>
      </c>
      <c r="V14" s="2" t="s">
        <v>14</v>
      </c>
      <c r="W14" s="2" t="s">
        <v>15</v>
      </c>
      <c r="X14" s="2" t="s">
        <v>16</v>
      </c>
      <c r="Y14" s="6" t="s">
        <v>17</v>
      </c>
      <c r="Z14" s="7" t="s">
        <v>18</v>
      </c>
      <c r="AB14" s="5" t="s">
        <v>11</v>
      </c>
      <c r="AC14" s="2" t="s">
        <v>12</v>
      </c>
      <c r="AD14" s="2" t="s">
        <v>13</v>
      </c>
      <c r="AE14" s="2" t="s">
        <v>14</v>
      </c>
      <c r="AF14" s="2" t="s">
        <v>15</v>
      </c>
      <c r="AG14" s="2" t="s">
        <v>16</v>
      </c>
      <c r="AH14" s="6" t="s">
        <v>17</v>
      </c>
      <c r="AI14" s="7" t="s">
        <v>18</v>
      </c>
      <c r="AK14" s="19" t="str">
        <f>RIGHT("0"&amp;DAY(DATE($B$2,12,24)),2)&amp;"."&amp;RIGHT("0"&amp;MONTH(DATE($B$2,12,24)),2)&amp;"."&amp;YEAR(DATE($B$2,12,24))</f>
        <v>24.12.2026</v>
      </c>
      <c r="AL14" s="4" t="s">
        <v>31</v>
      </c>
      <c r="AM14" s="16">
        <f>DATE($B$2,12,24)</f>
        <v>46380</v>
      </c>
      <c r="AN14" s="17" t="s">
        <v>31</v>
      </c>
    </row>
    <row r="15" spans="1:40" ht="29.1" customHeight="1" x14ac:dyDescent="0.25">
      <c r="A15" s="20">
        <f>IF(AND(MONTH(DATE($B$2,5,1)-WEEKDAY(DATE($B$2,5,1),2)+1+7*0)&lt;&gt;5,MONTH((DATE($B$2,5,1)-WEEKDAY(DATE($B$2,5,1),2)+1+7*0)+6)&lt;&gt;5),"",INT(((DATE($B$2,5,1)-WEEKDAY(DATE($B$2,5,1),2)+1+7*0)-(DATE(YEAR((DATE($B$2,5,1)-WEEKDAY(DATE($B$2,5,1),2)+1+7*0)-WEEKDAY((DATE($B$2,5,1)-WEEKDAY(DATE($B$2,5,1),2)+1+7*0),2)+4),1,4)-WEEKDAY(DATE(YEAR((DATE($B$2,5,1)-WEEKDAY(DATE($B$2,5,1),2)+1+7*0)-WEEKDAY((DATE($B$2,5,1)-WEEKDAY(DATE($B$2,5,1),2)+1+7*0),2)+4),1,4),2)+1))/7)+1)</f>
        <v>18</v>
      </c>
      <c r="B15" s="8" t="str">
        <f>IF(MONTH(DATE($B$2,5,1)-WEEKDAY(DATE($B$2,5,1),2)+1+7*0+0)&lt;&gt;5,"",DAY(DATE($B$2,5,1)-WEEKDAY(DATE($B$2,5,1),2)+1+7*0+0)&amp;IFERROR(CHAR(10)&amp;VLOOKUP(DATE($B$2,5,1)-WEEKDAY(DATE($B$2,5,1),2)+1+7*0+0,$AM$3:$AN$15,2,FALSE),""))</f>
        <v/>
      </c>
      <c r="C15" s="8" t="str">
        <f>IF(MONTH(DATE($B$2,5,1)-WEEKDAY(DATE($B$2,5,1),2)+1+7*0+1)&lt;&gt;5,"",DAY(DATE($B$2,5,1)-WEEKDAY(DATE($B$2,5,1),2)+1+7*0+1)&amp;IFERROR(CHAR(10)&amp;VLOOKUP(DATE($B$2,5,1)-WEEKDAY(DATE($B$2,5,1),2)+1+7*0+1,$AM$3:$AN$15,2,FALSE),""))</f>
        <v/>
      </c>
      <c r="D15" s="8" t="str">
        <f>IF(MONTH(DATE($B$2,5,1)-WEEKDAY(DATE($B$2,5,1),2)+1+7*0+2)&lt;&gt;5,"",DAY(DATE($B$2,5,1)-WEEKDAY(DATE($B$2,5,1),2)+1+7*0+2)&amp;IFERROR(CHAR(10)&amp;VLOOKUP(DATE($B$2,5,1)-WEEKDAY(DATE($B$2,5,1),2)+1+7*0+2,$AM$3:$AN$15,2,FALSE),""))</f>
        <v/>
      </c>
      <c r="E15" s="8" t="str">
        <f>IF(MONTH(DATE($B$2,5,1)-WEEKDAY(DATE($B$2,5,1),2)+1+7*0+3)&lt;&gt;5,"",DAY(DATE($B$2,5,1)-WEEKDAY(DATE($B$2,5,1),2)+1+7*0+3)&amp;IFERROR(CHAR(10)&amp;VLOOKUP(DATE($B$2,5,1)-WEEKDAY(DATE($B$2,5,1),2)+1+7*0+3,$AM$3:$AN$15,2,FALSE),""))</f>
        <v/>
      </c>
      <c r="F15" s="8" t="str">
        <f>IF(MONTH(DATE($B$2,5,1)-WEEKDAY(DATE($B$2,5,1),2)+1+7*0+4)&lt;&gt;5,"",DAY(DATE($B$2,5,1)-WEEKDAY(DATE($B$2,5,1),2)+1+7*0+4)&amp;IFERROR(CHAR(10)&amp;VLOOKUP(DATE($B$2,5,1)-WEEKDAY(DATE($B$2,5,1),2)+1+7*0+4,$AM$3:$AN$15,2,FALSE),""))</f>
        <v>1
Feiertag</v>
      </c>
      <c r="G15" s="9" t="str">
        <f>IF(MONTH(DATE($B$2,5,1)-WEEKDAY(DATE($B$2,5,1),2)+1+7*0+5)&lt;&gt;5,"",DAY(DATE($B$2,5,1)-WEEKDAY(DATE($B$2,5,1),2)+1+7*0+5)&amp;IFERROR(CHAR(10)&amp;VLOOKUP(DATE($B$2,5,1)-WEEKDAY(DATE($B$2,5,1),2)+1+7*0+5,$AM$3:$AN$15,2,FALSE),""))</f>
        <v>2</v>
      </c>
      <c r="H15" s="10" t="str">
        <f>IF(MONTH(DATE($B$2,5,1)-WEEKDAY(DATE($B$2,5,1),2)+1+7*0+6)&lt;&gt;5,"",DAY(DATE($B$2,5,1)-WEEKDAY(DATE($B$2,5,1),2)+1+7*0+6)&amp;IFERROR(CHAR(10)&amp;VLOOKUP(DATE($B$2,5,1)-WEEKDAY(DATE($B$2,5,1),2)+1+7*0+6,$AM$3:$AN$15,2,FALSE),""))</f>
        <v>3</v>
      </c>
      <c r="J15" s="20">
        <f>IF(AND(MONTH(DATE($B$2,6,1)-WEEKDAY(DATE($B$2,6,1),2)+1+7*0)&lt;&gt;6,MONTH((DATE($B$2,6,1)-WEEKDAY(DATE($B$2,6,1),2)+1+7*0)+6)&lt;&gt;6),"",INT(((DATE($B$2,6,1)-WEEKDAY(DATE($B$2,6,1),2)+1+7*0)-(DATE(YEAR((DATE($B$2,6,1)-WEEKDAY(DATE($B$2,6,1),2)+1+7*0)-WEEKDAY((DATE($B$2,6,1)-WEEKDAY(DATE($B$2,6,1),2)+1+7*0),2)+4),1,4)-WEEKDAY(DATE(YEAR((DATE($B$2,6,1)-WEEKDAY(DATE($B$2,6,1),2)+1+7*0)-WEEKDAY((DATE($B$2,6,1)-WEEKDAY(DATE($B$2,6,1),2)+1+7*0),2)+4),1,4),2)+1))/7)+1)</f>
        <v>23</v>
      </c>
      <c r="K15" s="8" t="str">
        <f>IF(MONTH(DATE($B$2,6,1)-WEEKDAY(DATE($B$2,6,1),2)+1+7*0+0)&lt;&gt;6,"",DAY(DATE($B$2,6,1)-WEEKDAY(DATE($B$2,6,1),2)+1+7*0+0)&amp;IFERROR(CHAR(10)&amp;VLOOKUP(DATE($B$2,6,1)-WEEKDAY(DATE($B$2,6,1),2)+1+7*0+0,$AM$3:$AN$15,2,FALSE),""))</f>
        <v>1</v>
      </c>
      <c r="L15" s="8" t="str">
        <f>IF(MONTH(DATE($B$2,6,1)-WEEKDAY(DATE($B$2,6,1),2)+1+7*0+1)&lt;&gt;6,"",DAY(DATE($B$2,6,1)-WEEKDAY(DATE($B$2,6,1),2)+1+7*0+1)&amp;IFERROR(CHAR(10)&amp;VLOOKUP(DATE($B$2,6,1)-WEEKDAY(DATE($B$2,6,1),2)+1+7*0+1,$AM$3:$AN$15,2,FALSE),""))</f>
        <v>2</v>
      </c>
      <c r="M15" s="8" t="str">
        <f>IF(MONTH(DATE($B$2,6,1)-WEEKDAY(DATE($B$2,6,1),2)+1+7*0+2)&lt;&gt;6,"",DAY(DATE($B$2,6,1)-WEEKDAY(DATE($B$2,6,1),2)+1+7*0+2)&amp;IFERROR(CHAR(10)&amp;VLOOKUP(DATE($B$2,6,1)-WEEKDAY(DATE($B$2,6,1),2)+1+7*0+2,$AM$3:$AN$15,2,FALSE),""))</f>
        <v>3</v>
      </c>
      <c r="N15" s="8" t="str">
        <f>IF(MONTH(DATE($B$2,6,1)-WEEKDAY(DATE($B$2,6,1),2)+1+7*0+3)&lt;&gt;6,"",DAY(DATE($B$2,6,1)-WEEKDAY(DATE($B$2,6,1),2)+1+7*0+3)&amp;IFERROR(CHAR(10)&amp;VLOOKUP(DATE($B$2,6,1)-WEEKDAY(DATE($B$2,6,1),2)+1+7*0+3,$AM$3:$AN$15,2,FALSE),""))</f>
        <v>4</v>
      </c>
      <c r="O15" s="8" t="str">
        <f>IF(MONTH(DATE($B$2,6,1)-WEEKDAY(DATE($B$2,6,1),2)+1+7*0+4)&lt;&gt;6,"",DAY(DATE($B$2,6,1)-WEEKDAY(DATE($B$2,6,1),2)+1+7*0+4)&amp;IFERROR(CHAR(10)&amp;VLOOKUP(DATE($B$2,6,1)-WEEKDAY(DATE($B$2,6,1),2)+1+7*0+4,$AM$3:$AN$15,2,FALSE),""))</f>
        <v>5</v>
      </c>
      <c r="P15" s="9" t="str">
        <f>IF(MONTH(DATE($B$2,6,1)-WEEKDAY(DATE($B$2,6,1),2)+1+7*0+5)&lt;&gt;6,"",DAY(DATE($B$2,6,1)-WEEKDAY(DATE($B$2,6,1),2)+1+7*0+5)&amp;IFERROR(CHAR(10)&amp;VLOOKUP(DATE($B$2,6,1)-WEEKDAY(DATE($B$2,6,1),2)+1+7*0+5,$AM$3:$AN$15,2,FALSE),""))</f>
        <v>6</v>
      </c>
      <c r="Q15" s="10" t="str">
        <f>IF(MONTH(DATE($B$2,6,1)-WEEKDAY(DATE($B$2,6,1),2)+1+7*0+6)&lt;&gt;6,"",DAY(DATE($B$2,6,1)-WEEKDAY(DATE($B$2,6,1),2)+1+7*0+6)&amp;IFERROR(CHAR(10)&amp;VLOOKUP(DATE($B$2,6,1)-WEEKDAY(DATE($B$2,6,1),2)+1+7*0+6,$AM$3:$AN$15,2,FALSE),""))</f>
        <v>7</v>
      </c>
      <c r="S15" s="20">
        <f>IF(AND(MONTH(DATE($B$2,7,1)-WEEKDAY(DATE($B$2,7,1),2)+1+7*0)&lt;&gt;7,MONTH((DATE($B$2,7,1)-WEEKDAY(DATE($B$2,7,1),2)+1+7*0)+6)&lt;&gt;7),"",INT(((DATE($B$2,7,1)-WEEKDAY(DATE($B$2,7,1),2)+1+7*0)-(DATE(YEAR((DATE($B$2,7,1)-WEEKDAY(DATE($B$2,7,1),2)+1+7*0)-WEEKDAY((DATE($B$2,7,1)-WEEKDAY(DATE($B$2,7,1),2)+1+7*0),2)+4),1,4)-WEEKDAY(DATE(YEAR((DATE($B$2,7,1)-WEEKDAY(DATE($B$2,7,1),2)+1+7*0)-WEEKDAY((DATE($B$2,7,1)-WEEKDAY(DATE($B$2,7,1),2)+1+7*0),2)+4),1,4),2)+1))/7)+1)</f>
        <v>27</v>
      </c>
      <c r="T15" s="8" t="str">
        <f>IF(MONTH(DATE($B$2,7,1)-WEEKDAY(DATE($B$2,7,1),2)+1+7*0+0)&lt;&gt;7,"",DAY(DATE($B$2,7,1)-WEEKDAY(DATE($B$2,7,1),2)+1+7*0+0)&amp;IFERROR(CHAR(10)&amp;VLOOKUP(DATE($B$2,7,1)-WEEKDAY(DATE($B$2,7,1),2)+1+7*0+0,$AM$3:$AN$15,2,FALSE),""))</f>
        <v/>
      </c>
      <c r="U15" s="8" t="str">
        <f>IF(MONTH(DATE($B$2,7,1)-WEEKDAY(DATE($B$2,7,1),2)+1+7*0+1)&lt;&gt;7,"",DAY(DATE($B$2,7,1)-WEEKDAY(DATE($B$2,7,1),2)+1+7*0+1)&amp;IFERROR(CHAR(10)&amp;VLOOKUP(DATE($B$2,7,1)-WEEKDAY(DATE($B$2,7,1),2)+1+7*0+1,$AM$3:$AN$15,2,FALSE),""))</f>
        <v/>
      </c>
      <c r="V15" s="8" t="str">
        <f>IF(MONTH(DATE($B$2,7,1)-WEEKDAY(DATE($B$2,7,1),2)+1+7*0+2)&lt;&gt;7,"",DAY(DATE($B$2,7,1)-WEEKDAY(DATE($B$2,7,1),2)+1+7*0+2)&amp;IFERROR(CHAR(10)&amp;VLOOKUP(DATE($B$2,7,1)-WEEKDAY(DATE($B$2,7,1),2)+1+7*0+2,$AM$3:$AN$15,2,FALSE),""))</f>
        <v>1</v>
      </c>
      <c r="W15" s="8" t="str">
        <f>IF(MONTH(DATE($B$2,7,1)-WEEKDAY(DATE($B$2,7,1),2)+1+7*0+3)&lt;&gt;7,"",DAY(DATE($B$2,7,1)-WEEKDAY(DATE($B$2,7,1),2)+1+7*0+3)&amp;IFERROR(CHAR(10)&amp;VLOOKUP(DATE($B$2,7,1)-WEEKDAY(DATE($B$2,7,1),2)+1+7*0+3,$AM$3:$AN$15,2,FALSE),""))</f>
        <v>2</v>
      </c>
      <c r="X15" s="8" t="str">
        <f>IF(MONTH(DATE($B$2,7,1)-WEEKDAY(DATE($B$2,7,1),2)+1+7*0+4)&lt;&gt;7,"",DAY(DATE($B$2,7,1)-WEEKDAY(DATE($B$2,7,1),2)+1+7*0+4)&amp;IFERROR(CHAR(10)&amp;VLOOKUP(DATE($B$2,7,1)-WEEKDAY(DATE($B$2,7,1),2)+1+7*0+4,$AM$3:$AN$15,2,FALSE),""))</f>
        <v>3</v>
      </c>
      <c r="Y15" s="9" t="str">
        <f>IF(MONTH(DATE($B$2,7,1)-WEEKDAY(DATE($B$2,7,1),2)+1+7*0+5)&lt;&gt;7,"",DAY(DATE($B$2,7,1)-WEEKDAY(DATE($B$2,7,1),2)+1+7*0+5)&amp;IFERROR(CHAR(10)&amp;VLOOKUP(DATE($B$2,7,1)-WEEKDAY(DATE($B$2,7,1),2)+1+7*0+5,$AM$3:$AN$15,2,FALSE),""))</f>
        <v>4</v>
      </c>
      <c r="Z15" s="10" t="str">
        <f>IF(MONTH(DATE($B$2,7,1)-WEEKDAY(DATE($B$2,7,1),2)+1+7*0+6)&lt;&gt;7,"",DAY(DATE($B$2,7,1)-WEEKDAY(DATE($B$2,7,1),2)+1+7*0+6)&amp;IFERROR(CHAR(10)&amp;VLOOKUP(DATE($B$2,7,1)-WEEKDAY(DATE($B$2,7,1),2)+1+7*0+6,$AM$3:$AN$15,2,FALSE),""))</f>
        <v>5</v>
      </c>
      <c r="AB15" s="20">
        <f>IF(AND(MONTH(DATE($B$2,8,1)-WEEKDAY(DATE($B$2,8,1),2)+1+7*0)&lt;&gt;8,MONTH((DATE($B$2,8,1)-WEEKDAY(DATE($B$2,8,1),2)+1+7*0)+6)&lt;&gt;8),"",INT(((DATE($B$2,8,1)-WEEKDAY(DATE($B$2,8,1),2)+1+7*0)-(DATE(YEAR((DATE($B$2,8,1)-WEEKDAY(DATE($B$2,8,1),2)+1+7*0)-WEEKDAY((DATE($B$2,8,1)-WEEKDAY(DATE($B$2,8,1),2)+1+7*0),2)+4),1,4)-WEEKDAY(DATE(YEAR((DATE($B$2,8,1)-WEEKDAY(DATE($B$2,8,1),2)+1+7*0)-WEEKDAY((DATE($B$2,8,1)-WEEKDAY(DATE($B$2,8,1),2)+1+7*0),2)+4),1,4),2)+1))/7)+1)</f>
        <v>31</v>
      </c>
      <c r="AC15" s="8" t="str">
        <f>IF(MONTH(DATE($B$2,8,1)-WEEKDAY(DATE($B$2,8,1),2)+1+7*0+0)&lt;&gt;8,"",DAY(DATE($B$2,8,1)-WEEKDAY(DATE($B$2,8,1),2)+1+7*0+0)&amp;IFERROR(CHAR(10)&amp;VLOOKUP(DATE($B$2,8,1)-WEEKDAY(DATE($B$2,8,1),2)+1+7*0+0,$AM$3:$AN$15,2,FALSE),""))</f>
        <v/>
      </c>
      <c r="AD15" s="8" t="str">
        <f>IF(MONTH(DATE($B$2,8,1)-WEEKDAY(DATE($B$2,8,1),2)+1+7*0+1)&lt;&gt;8,"",DAY(DATE($B$2,8,1)-WEEKDAY(DATE($B$2,8,1),2)+1+7*0+1)&amp;IFERROR(CHAR(10)&amp;VLOOKUP(DATE($B$2,8,1)-WEEKDAY(DATE($B$2,8,1),2)+1+7*0+1,$AM$3:$AN$15,2,FALSE),""))</f>
        <v/>
      </c>
      <c r="AE15" s="8" t="str">
        <f>IF(MONTH(DATE($B$2,8,1)-WEEKDAY(DATE($B$2,8,1),2)+1+7*0+2)&lt;&gt;8,"",DAY(DATE($B$2,8,1)-WEEKDAY(DATE($B$2,8,1),2)+1+7*0+2)&amp;IFERROR(CHAR(10)&amp;VLOOKUP(DATE($B$2,8,1)-WEEKDAY(DATE($B$2,8,1),2)+1+7*0+2,$AM$3:$AN$15,2,FALSE),""))</f>
        <v/>
      </c>
      <c r="AF15" s="8" t="str">
        <f>IF(MONTH(DATE($B$2,8,1)-WEEKDAY(DATE($B$2,8,1),2)+1+7*0+3)&lt;&gt;8,"",DAY(DATE($B$2,8,1)-WEEKDAY(DATE($B$2,8,1),2)+1+7*0+3)&amp;IFERROR(CHAR(10)&amp;VLOOKUP(DATE($B$2,8,1)-WEEKDAY(DATE($B$2,8,1),2)+1+7*0+3,$AM$3:$AN$15,2,FALSE),""))</f>
        <v/>
      </c>
      <c r="AG15" s="8" t="str">
        <f>IF(MONTH(DATE($B$2,8,1)-WEEKDAY(DATE($B$2,8,1),2)+1+7*0+4)&lt;&gt;8,"",DAY(DATE($B$2,8,1)-WEEKDAY(DATE($B$2,8,1),2)+1+7*0+4)&amp;IFERROR(CHAR(10)&amp;VLOOKUP(DATE($B$2,8,1)-WEEKDAY(DATE($B$2,8,1),2)+1+7*0+4,$AM$3:$AN$15,2,FALSE),""))</f>
        <v/>
      </c>
      <c r="AH15" s="9" t="str">
        <f>IF(MONTH(DATE($B$2,8,1)-WEEKDAY(DATE($B$2,8,1),2)+1+7*0+5)&lt;&gt;8,"",DAY(DATE($B$2,8,1)-WEEKDAY(DATE($B$2,8,1),2)+1+7*0+5)&amp;IFERROR(CHAR(10)&amp;VLOOKUP(DATE($B$2,8,1)-WEEKDAY(DATE($B$2,8,1),2)+1+7*0+5,$AM$3:$AN$15,2,FALSE),""))</f>
        <v>1</v>
      </c>
      <c r="AI15" s="10" t="str">
        <f>IF(MONTH(DATE($B$2,8,1)-WEEKDAY(DATE($B$2,8,1),2)+1+7*0+6)&lt;&gt;8,"",DAY(DATE($B$2,8,1)-WEEKDAY(DATE($B$2,8,1),2)+1+7*0+6)&amp;IFERROR(CHAR(10)&amp;VLOOKUP(DATE($B$2,8,1)-WEEKDAY(DATE($B$2,8,1),2)+1+7*0+6,$AM$3:$AN$15,2,FALSE),""))</f>
        <v>2</v>
      </c>
      <c r="AK15" s="18" t="str">
        <f>RIGHT("0"&amp;DAY(DATE($B$2,12,31)),2)&amp;"."&amp;RIGHT("0"&amp;MONTH(DATE($B$2,12,31)),2)&amp;"."&amp;YEAR(DATE($B$2,12,31))</f>
        <v>31.12.2026</v>
      </c>
      <c r="AL15" s="3" t="s">
        <v>32</v>
      </c>
      <c r="AM15" s="14">
        <f>DATE($B$2,12,31)</f>
        <v>46387</v>
      </c>
      <c r="AN15" s="15" t="s">
        <v>32</v>
      </c>
    </row>
    <row r="16" spans="1:40" ht="29.1" customHeight="1" x14ac:dyDescent="0.25">
      <c r="A16" s="20">
        <f>IF(AND(MONTH(DATE($B$2,5,1)-WEEKDAY(DATE($B$2,5,1),2)+1+7*1)&lt;&gt;5,MONTH((DATE($B$2,5,1)-WEEKDAY(DATE($B$2,5,1),2)+1+7*1)+6)&lt;&gt;5),"",INT(((DATE($B$2,5,1)-WEEKDAY(DATE($B$2,5,1),2)+1+7*1)-(DATE(YEAR((DATE($B$2,5,1)-WEEKDAY(DATE($B$2,5,1),2)+1+7*1)-WEEKDAY((DATE($B$2,5,1)-WEEKDAY(DATE($B$2,5,1),2)+1+7*1),2)+4),1,4)-WEEKDAY(DATE(YEAR((DATE($B$2,5,1)-WEEKDAY(DATE($B$2,5,1),2)+1+7*1)-WEEKDAY((DATE($B$2,5,1)-WEEKDAY(DATE($B$2,5,1),2)+1+7*1),2)+4),1,4),2)+1))/7)+1)</f>
        <v>19</v>
      </c>
      <c r="B16" s="8" t="str">
        <f>IF(MONTH(DATE($B$2,5,1)-WEEKDAY(DATE($B$2,5,1),2)+1+7*1+0)&lt;&gt;5,"",DAY(DATE($B$2,5,1)-WEEKDAY(DATE($B$2,5,1),2)+1+7*1+0)&amp;IFERROR(CHAR(10)&amp;VLOOKUP(DATE($B$2,5,1)-WEEKDAY(DATE($B$2,5,1),2)+1+7*1+0,$AM$3:$AN$15,2,FALSE),""))</f>
        <v>4</v>
      </c>
      <c r="C16" s="8" t="str">
        <f>IF(MONTH(DATE($B$2,5,1)-WEEKDAY(DATE($B$2,5,1),2)+1+7*1+1)&lt;&gt;5,"",DAY(DATE($B$2,5,1)-WEEKDAY(DATE($B$2,5,1),2)+1+7*1+1)&amp;IFERROR(CHAR(10)&amp;VLOOKUP(DATE($B$2,5,1)-WEEKDAY(DATE($B$2,5,1),2)+1+7*1+1,$AM$3:$AN$15,2,FALSE),""))</f>
        <v>5</v>
      </c>
      <c r="D16" s="8" t="str">
        <f>IF(MONTH(DATE($B$2,5,1)-WEEKDAY(DATE($B$2,5,1),2)+1+7*1+2)&lt;&gt;5,"",DAY(DATE($B$2,5,1)-WEEKDAY(DATE($B$2,5,1),2)+1+7*1+2)&amp;IFERROR(CHAR(10)&amp;VLOOKUP(DATE($B$2,5,1)-WEEKDAY(DATE($B$2,5,1),2)+1+7*1+2,$AM$3:$AN$15,2,FALSE),""))</f>
        <v>6</v>
      </c>
      <c r="E16" s="8" t="str">
        <f>IF(MONTH(DATE($B$2,5,1)-WEEKDAY(DATE($B$2,5,1),2)+1+7*1+3)&lt;&gt;5,"",DAY(DATE($B$2,5,1)-WEEKDAY(DATE($B$2,5,1),2)+1+7*1+3)&amp;IFERROR(CHAR(10)&amp;VLOOKUP(DATE($B$2,5,1)-WEEKDAY(DATE($B$2,5,1),2)+1+7*1+3,$AM$3:$AN$15,2,FALSE),""))</f>
        <v>7</v>
      </c>
      <c r="F16" s="8" t="str">
        <f>IF(MONTH(DATE($B$2,5,1)-WEEKDAY(DATE($B$2,5,1),2)+1+7*1+4)&lt;&gt;5,"",DAY(DATE($B$2,5,1)-WEEKDAY(DATE($B$2,5,1),2)+1+7*1+4)&amp;IFERROR(CHAR(10)&amp;VLOOKUP(DATE($B$2,5,1)-WEEKDAY(DATE($B$2,5,1),2)+1+7*1+4,$AM$3:$AN$15,2,FALSE),""))</f>
        <v>8</v>
      </c>
      <c r="G16" s="9" t="str">
        <f>IF(MONTH(DATE($B$2,5,1)-WEEKDAY(DATE($B$2,5,1),2)+1+7*1+5)&lt;&gt;5,"",DAY(DATE($B$2,5,1)-WEEKDAY(DATE($B$2,5,1),2)+1+7*1+5)&amp;IFERROR(CHAR(10)&amp;VLOOKUP(DATE($B$2,5,1)-WEEKDAY(DATE($B$2,5,1),2)+1+7*1+5,$AM$3:$AN$15,2,FALSE),""))</f>
        <v>9</v>
      </c>
      <c r="H16" s="10" t="str">
        <f>IF(MONTH(DATE($B$2,5,1)-WEEKDAY(DATE($B$2,5,1),2)+1+7*1+6)&lt;&gt;5,"",DAY(DATE($B$2,5,1)-WEEKDAY(DATE($B$2,5,1),2)+1+7*1+6)&amp;IFERROR(CHAR(10)&amp;VLOOKUP(DATE($B$2,5,1)-WEEKDAY(DATE($B$2,5,1),2)+1+7*1+6,$AM$3:$AN$15,2,FALSE),""))</f>
        <v>10</v>
      </c>
      <c r="J16" s="20">
        <f>IF(AND(MONTH(DATE($B$2,6,1)-WEEKDAY(DATE($B$2,6,1),2)+1+7*1)&lt;&gt;6,MONTH((DATE($B$2,6,1)-WEEKDAY(DATE($B$2,6,1),2)+1+7*1)+6)&lt;&gt;6),"",INT(((DATE($B$2,6,1)-WEEKDAY(DATE($B$2,6,1),2)+1+7*1)-(DATE(YEAR((DATE($B$2,6,1)-WEEKDAY(DATE($B$2,6,1),2)+1+7*1)-WEEKDAY((DATE($B$2,6,1)-WEEKDAY(DATE($B$2,6,1),2)+1+7*1),2)+4),1,4)-WEEKDAY(DATE(YEAR((DATE($B$2,6,1)-WEEKDAY(DATE($B$2,6,1),2)+1+7*1)-WEEKDAY((DATE($B$2,6,1)-WEEKDAY(DATE($B$2,6,1),2)+1+7*1),2)+4),1,4),2)+1))/7)+1)</f>
        <v>24</v>
      </c>
      <c r="K16" s="8" t="str">
        <f>IF(MONTH(DATE($B$2,6,1)-WEEKDAY(DATE($B$2,6,1),2)+1+7*1+0)&lt;&gt;6,"",DAY(DATE($B$2,6,1)-WEEKDAY(DATE($B$2,6,1),2)+1+7*1+0)&amp;IFERROR(CHAR(10)&amp;VLOOKUP(DATE($B$2,6,1)-WEEKDAY(DATE($B$2,6,1),2)+1+7*1+0,$AM$3:$AN$15,2,FALSE),""))</f>
        <v>8</v>
      </c>
      <c r="L16" s="8" t="str">
        <f>IF(MONTH(DATE($B$2,6,1)-WEEKDAY(DATE($B$2,6,1),2)+1+7*1+1)&lt;&gt;6,"",DAY(DATE($B$2,6,1)-WEEKDAY(DATE($B$2,6,1),2)+1+7*1+1)&amp;IFERROR(CHAR(10)&amp;VLOOKUP(DATE($B$2,6,1)-WEEKDAY(DATE($B$2,6,1),2)+1+7*1+1,$AM$3:$AN$15,2,FALSE),""))</f>
        <v>9</v>
      </c>
      <c r="M16" s="8" t="str">
        <f>IF(MONTH(DATE($B$2,6,1)-WEEKDAY(DATE($B$2,6,1),2)+1+7*1+2)&lt;&gt;6,"",DAY(DATE($B$2,6,1)-WEEKDAY(DATE($B$2,6,1),2)+1+7*1+2)&amp;IFERROR(CHAR(10)&amp;VLOOKUP(DATE($B$2,6,1)-WEEKDAY(DATE($B$2,6,1),2)+1+7*1+2,$AM$3:$AN$15,2,FALSE),""))</f>
        <v>10</v>
      </c>
      <c r="N16" s="8" t="str">
        <f>IF(MONTH(DATE($B$2,6,1)-WEEKDAY(DATE($B$2,6,1),2)+1+7*1+3)&lt;&gt;6,"",DAY(DATE($B$2,6,1)-WEEKDAY(DATE($B$2,6,1),2)+1+7*1+3)&amp;IFERROR(CHAR(10)&amp;VLOOKUP(DATE($B$2,6,1)-WEEKDAY(DATE($B$2,6,1),2)+1+7*1+3,$AM$3:$AN$15,2,FALSE),""))</f>
        <v>11</v>
      </c>
      <c r="O16" s="8" t="str">
        <f>IF(MONTH(DATE($B$2,6,1)-WEEKDAY(DATE($B$2,6,1),2)+1+7*1+4)&lt;&gt;6,"",DAY(DATE($B$2,6,1)-WEEKDAY(DATE($B$2,6,1),2)+1+7*1+4)&amp;IFERROR(CHAR(10)&amp;VLOOKUP(DATE($B$2,6,1)-WEEKDAY(DATE($B$2,6,1),2)+1+7*1+4,$AM$3:$AN$15,2,FALSE),""))</f>
        <v>12
Call</v>
      </c>
      <c r="P16" s="9" t="str">
        <f>IF(MONTH(DATE($B$2,6,1)-WEEKDAY(DATE($B$2,6,1),2)+1+7*1+5)&lt;&gt;6,"",DAY(DATE($B$2,6,1)-WEEKDAY(DATE($B$2,6,1),2)+1+7*1+5)&amp;IFERROR(CHAR(10)&amp;VLOOKUP(DATE($B$2,6,1)-WEEKDAY(DATE($B$2,6,1),2)+1+7*1+5,$AM$3:$AN$15,2,FALSE),""))</f>
        <v>13</v>
      </c>
      <c r="Q16" s="10" t="str">
        <f>IF(MONTH(DATE($B$2,6,1)-WEEKDAY(DATE($B$2,6,1),2)+1+7*1+6)&lt;&gt;6,"",DAY(DATE($B$2,6,1)-WEEKDAY(DATE($B$2,6,1),2)+1+7*1+6)&amp;IFERROR(CHAR(10)&amp;VLOOKUP(DATE($B$2,6,1)-WEEKDAY(DATE($B$2,6,1),2)+1+7*1+6,$AM$3:$AN$15,2,FALSE),""))</f>
        <v>14</v>
      </c>
      <c r="S16" s="20">
        <f>IF(AND(MONTH(DATE($B$2,7,1)-WEEKDAY(DATE($B$2,7,1),2)+1+7*1)&lt;&gt;7,MONTH((DATE($B$2,7,1)-WEEKDAY(DATE($B$2,7,1),2)+1+7*1)+6)&lt;&gt;7),"",INT(((DATE($B$2,7,1)-WEEKDAY(DATE($B$2,7,1),2)+1+7*1)-(DATE(YEAR((DATE($B$2,7,1)-WEEKDAY(DATE($B$2,7,1),2)+1+7*1)-WEEKDAY((DATE($B$2,7,1)-WEEKDAY(DATE($B$2,7,1),2)+1+7*1),2)+4),1,4)-WEEKDAY(DATE(YEAR((DATE($B$2,7,1)-WEEKDAY(DATE($B$2,7,1),2)+1+7*1)-WEEKDAY((DATE($B$2,7,1)-WEEKDAY(DATE($B$2,7,1),2)+1+7*1),2)+4),1,4),2)+1))/7)+1)</f>
        <v>28</v>
      </c>
      <c r="T16" s="8" t="str">
        <f>IF(MONTH(DATE($B$2,7,1)-WEEKDAY(DATE($B$2,7,1),2)+1+7*1+0)&lt;&gt;7,"",DAY(DATE($B$2,7,1)-WEEKDAY(DATE($B$2,7,1),2)+1+7*1+0)&amp;IFERROR(CHAR(10)&amp;VLOOKUP(DATE($B$2,7,1)-WEEKDAY(DATE($B$2,7,1),2)+1+7*1+0,$AM$3:$AN$15,2,FALSE),""))</f>
        <v>6</v>
      </c>
      <c r="U16" s="8" t="str">
        <f>IF(MONTH(DATE($B$2,7,1)-WEEKDAY(DATE($B$2,7,1),2)+1+7*1+1)&lt;&gt;7,"",DAY(DATE($B$2,7,1)-WEEKDAY(DATE($B$2,7,1),2)+1+7*1+1)&amp;IFERROR(CHAR(10)&amp;VLOOKUP(DATE($B$2,7,1)-WEEKDAY(DATE($B$2,7,1),2)+1+7*1+1,$AM$3:$AN$15,2,FALSE),""))</f>
        <v>7</v>
      </c>
      <c r="V16" s="8" t="str">
        <f>IF(MONTH(DATE($B$2,7,1)-WEEKDAY(DATE($B$2,7,1),2)+1+7*1+2)&lt;&gt;7,"",DAY(DATE($B$2,7,1)-WEEKDAY(DATE($B$2,7,1),2)+1+7*1+2)&amp;IFERROR(CHAR(10)&amp;VLOOKUP(DATE($B$2,7,1)-WEEKDAY(DATE($B$2,7,1),2)+1+7*1+2,$AM$3:$AN$15,2,FALSE),""))</f>
        <v>8</v>
      </c>
      <c r="W16" s="8" t="str">
        <f>IF(MONTH(DATE($B$2,7,1)-WEEKDAY(DATE($B$2,7,1),2)+1+7*1+3)&lt;&gt;7,"",DAY(DATE($B$2,7,1)-WEEKDAY(DATE($B$2,7,1),2)+1+7*1+3)&amp;IFERROR(CHAR(10)&amp;VLOOKUP(DATE($B$2,7,1)-WEEKDAY(DATE($B$2,7,1),2)+1+7*1+3,$AM$3:$AN$15,2,FALSE),""))</f>
        <v>9</v>
      </c>
      <c r="X16" s="8" t="str">
        <f>IF(MONTH(DATE($B$2,7,1)-WEEKDAY(DATE($B$2,7,1),2)+1+7*1+4)&lt;&gt;7,"",DAY(DATE($B$2,7,1)-WEEKDAY(DATE($B$2,7,1),2)+1+7*1+4)&amp;IFERROR(CHAR(10)&amp;VLOOKUP(DATE($B$2,7,1)-WEEKDAY(DATE($B$2,7,1),2)+1+7*1+4,$AM$3:$AN$15,2,FALSE),""))</f>
        <v>10</v>
      </c>
      <c r="Y16" s="9" t="str">
        <f>IF(MONTH(DATE($B$2,7,1)-WEEKDAY(DATE($B$2,7,1),2)+1+7*1+5)&lt;&gt;7,"",DAY(DATE($B$2,7,1)-WEEKDAY(DATE($B$2,7,1),2)+1+7*1+5)&amp;IFERROR(CHAR(10)&amp;VLOOKUP(DATE($B$2,7,1)-WEEKDAY(DATE($B$2,7,1),2)+1+7*1+5,$AM$3:$AN$15,2,FALSE),""))</f>
        <v>11</v>
      </c>
      <c r="Z16" s="10" t="str">
        <f>IF(MONTH(DATE($B$2,7,1)-WEEKDAY(DATE($B$2,7,1),2)+1+7*1+6)&lt;&gt;7,"",DAY(DATE($B$2,7,1)-WEEKDAY(DATE($B$2,7,1),2)+1+7*1+6)&amp;IFERROR(CHAR(10)&amp;VLOOKUP(DATE($B$2,7,1)-WEEKDAY(DATE($B$2,7,1),2)+1+7*1+6,$AM$3:$AN$15,2,FALSE),""))</f>
        <v>12</v>
      </c>
      <c r="AB16" s="20">
        <f>IF(AND(MONTH(DATE($B$2,8,1)-WEEKDAY(DATE($B$2,8,1),2)+1+7*1)&lt;&gt;8,MONTH((DATE($B$2,8,1)-WEEKDAY(DATE($B$2,8,1),2)+1+7*1)+6)&lt;&gt;8),"",INT(((DATE($B$2,8,1)-WEEKDAY(DATE($B$2,8,1),2)+1+7*1)-(DATE(YEAR((DATE($B$2,8,1)-WEEKDAY(DATE($B$2,8,1),2)+1+7*1)-WEEKDAY((DATE($B$2,8,1)-WEEKDAY(DATE($B$2,8,1),2)+1+7*1),2)+4),1,4)-WEEKDAY(DATE(YEAR((DATE($B$2,8,1)-WEEKDAY(DATE($B$2,8,1),2)+1+7*1)-WEEKDAY((DATE($B$2,8,1)-WEEKDAY(DATE($B$2,8,1),2)+1+7*1),2)+4),1,4),2)+1))/7)+1)</f>
        <v>32</v>
      </c>
      <c r="AC16" s="8" t="str">
        <f>IF(MONTH(DATE($B$2,8,1)-WEEKDAY(DATE($B$2,8,1),2)+1+7*1+0)&lt;&gt;8,"",DAY(DATE($B$2,8,1)-WEEKDAY(DATE($B$2,8,1),2)+1+7*1+0)&amp;IFERROR(CHAR(10)&amp;VLOOKUP(DATE($B$2,8,1)-WEEKDAY(DATE($B$2,8,1),2)+1+7*1+0,$AM$3:$AN$15,2,FALSE),""))</f>
        <v>3</v>
      </c>
      <c r="AD16" s="8" t="str">
        <f>IF(MONTH(DATE($B$2,8,1)-WEEKDAY(DATE($B$2,8,1),2)+1+7*1+1)&lt;&gt;8,"",DAY(DATE($B$2,8,1)-WEEKDAY(DATE($B$2,8,1),2)+1+7*1+1)&amp;IFERROR(CHAR(10)&amp;VLOOKUP(DATE($B$2,8,1)-WEEKDAY(DATE($B$2,8,1),2)+1+7*1+1,$AM$3:$AN$15,2,FALSE),""))</f>
        <v>4</v>
      </c>
      <c r="AE16" s="8" t="str">
        <f>IF(MONTH(DATE($B$2,8,1)-WEEKDAY(DATE($B$2,8,1),2)+1+7*1+2)&lt;&gt;8,"",DAY(DATE($B$2,8,1)-WEEKDAY(DATE($B$2,8,1),2)+1+7*1+2)&amp;IFERROR(CHAR(10)&amp;VLOOKUP(DATE($B$2,8,1)-WEEKDAY(DATE($B$2,8,1),2)+1+7*1+2,$AM$3:$AN$15,2,FALSE),""))</f>
        <v>5
Strategie</v>
      </c>
      <c r="AF16" s="8" t="str">
        <f>IF(MONTH(DATE($B$2,8,1)-WEEKDAY(DATE($B$2,8,1),2)+1+7*1+3)&lt;&gt;8,"",DAY(DATE($B$2,8,1)-WEEKDAY(DATE($B$2,8,1),2)+1+7*1+3)&amp;IFERROR(CHAR(10)&amp;VLOOKUP(DATE($B$2,8,1)-WEEKDAY(DATE($B$2,8,1),2)+1+7*1+3,$AM$3:$AN$15,2,FALSE),""))</f>
        <v>6</v>
      </c>
      <c r="AG16" s="8" t="str">
        <f>IF(MONTH(DATE($B$2,8,1)-WEEKDAY(DATE($B$2,8,1),2)+1+7*1+4)&lt;&gt;8,"",DAY(DATE($B$2,8,1)-WEEKDAY(DATE($B$2,8,1),2)+1+7*1+4)&amp;IFERROR(CHAR(10)&amp;VLOOKUP(DATE($B$2,8,1)-WEEKDAY(DATE($B$2,8,1),2)+1+7*1+4,$AM$3:$AN$15,2,FALSE),""))</f>
        <v>7</v>
      </c>
      <c r="AH16" s="9" t="str">
        <f>IF(MONTH(DATE($B$2,8,1)-WEEKDAY(DATE($B$2,8,1),2)+1+7*1+5)&lt;&gt;8,"",DAY(DATE($B$2,8,1)-WEEKDAY(DATE($B$2,8,1),2)+1+7*1+5)&amp;IFERROR(CHAR(10)&amp;VLOOKUP(DATE($B$2,8,1)-WEEKDAY(DATE($B$2,8,1),2)+1+7*1+5,$AM$3:$AN$15,2,FALSE),""))</f>
        <v>8</v>
      </c>
      <c r="AI16" s="10" t="str">
        <f>IF(MONTH(DATE($B$2,8,1)-WEEKDAY(DATE($B$2,8,1),2)+1+7*1+6)&lt;&gt;8,"",DAY(DATE($B$2,8,1)-WEEKDAY(DATE($B$2,8,1),2)+1+7*1+6)&amp;IFERROR(CHAR(10)&amp;VLOOKUP(DATE($B$2,8,1)-WEEKDAY(DATE($B$2,8,1),2)+1+7*1+6,$AM$3:$AN$15,2,FALSE),""))</f>
        <v>9</v>
      </c>
    </row>
    <row r="17" spans="1:35" ht="29.1" customHeight="1" x14ac:dyDescent="0.25">
      <c r="A17" s="20">
        <f>IF(AND(MONTH(DATE($B$2,5,1)-WEEKDAY(DATE($B$2,5,1),2)+1+7*2)&lt;&gt;5,MONTH((DATE($B$2,5,1)-WEEKDAY(DATE($B$2,5,1),2)+1+7*2)+6)&lt;&gt;5),"",INT(((DATE($B$2,5,1)-WEEKDAY(DATE($B$2,5,1),2)+1+7*2)-(DATE(YEAR((DATE($B$2,5,1)-WEEKDAY(DATE($B$2,5,1),2)+1+7*2)-WEEKDAY((DATE($B$2,5,1)-WEEKDAY(DATE($B$2,5,1),2)+1+7*2),2)+4),1,4)-WEEKDAY(DATE(YEAR((DATE($B$2,5,1)-WEEKDAY(DATE($B$2,5,1),2)+1+7*2)-WEEKDAY((DATE($B$2,5,1)-WEEKDAY(DATE($B$2,5,1),2)+1+7*2),2)+4),1,4),2)+1))/7)+1)</f>
        <v>20</v>
      </c>
      <c r="B17" s="8" t="str">
        <f>IF(MONTH(DATE($B$2,5,1)-WEEKDAY(DATE($B$2,5,1),2)+1+7*2+0)&lt;&gt;5,"",DAY(DATE($B$2,5,1)-WEEKDAY(DATE($B$2,5,1),2)+1+7*2+0)&amp;IFERROR(CHAR(10)&amp;VLOOKUP(DATE($B$2,5,1)-WEEKDAY(DATE($B$2,5,1),2)+1+7*2+0,$AM$3:$AN$15,2,FALSE),""))</f>
        <v>11</v>
      </c>
      <c r="C17" s="8" t="str">
        <f>IF(MONTH(DATE($B$2,5,1)-WEEKDAY(DATE($B$2,5,1),2)+1+7*2+1)&lt;&gt;5,"",DAY(DATE($B$2,5,1)-WEEKDAY(DATE($B$2,5,1),2)+1+7*2+1)&amp;IFERROR(CHAR(10)&amp;VLOOKUP(DATE($B$2,5,1)-WEEKDAY(DATE($B$2,5,1),2)+1+7*2+1,$AM$3:$AN$15,2,FALSE),""))</f>
        <v>12</v>
      </c>
      <c r="D17" s="8" t="str">
        <f>IF(MONTH(DATE($B$2,5,1)-WEEKDAY(DATE($B$2,5,1),2)+1+7*2+2)&lt;&gt;5,"",DAY(DATE($B$2,5,1)-WEEKDAY(DATE($B$2,5,1),2)+1+7*2+2)&amp;IFERROR(CHAR(10)&amp;VLOOKUP(DATE($B$2,5,1)-WEEKDAY(DATE($B$2,5,1),2)+1+7*2+2,$AM$3:$AN$15,2,FALSE),""))</f>
        <v>13</v>
      </c>
      <c r="E17" s="8" t="str">
        <f>IF(MONTH(DATE($B$2,5,1)-WEEKDAY(DATE($B$2,5,1),2)+1+7*2+3)&lt;&gt;5,"",DAY(DATE($B$2,5,1)-WEEKDAY(DATE($B$2,5,1),2)+1+7*2+3)&amp;IFERROR(CHAR(10)&amp;VLOOKUP(DATE($B$2,5,1)-WEEKDAY(DATE($B$2,5,1),2)+1+7*2+3,$AM$3:$AN$15,2,FALSE),""))</f>
        <v>14</v>
      </c>
      <c r="F17" s="8" t="str">
        <f>IF(MONTH(DATE($B$2,5,1)-WEEKDAY(DATE($B$2,5,1),2)+1+7*2+4)&lt;&gt;5,"",DAY(DATE($B$2,5,1)-WEEKDAY(DATE($B$2,5,1),2)+1+7*2+4)&amp;IFERROR(CHAR(10)&amp;VLOOKUP(DATE($B$2,5,1)-WEEKDAY(DATE($B$2,5,1),2)+1+7*2+4,$AM$3:$AN$15,2,FALSE),""))</f>
        <v>15</v>
      </c>
      <c r="G17" s="9" t="str">
        <f>IF(MONTH(DATE($B$2,5,1)-WEEKDAY(DATE($B$2,5,1),2)+1+7*2+5)&lt;&gt;5,"",DAY(DATE($B$2,5,1)-WEEKDAY(DATE($B$2,5,1),2)+1+7*2+5)&amp;IFERROR(CHAR(10)&amp;VLOOKUP(DATE($B$2,5,1)-WEEKDAY(DATE($B$2,5,1),2)+1+7*2+5,$AM$3:$AN$15,2,FALSE),""))</f>
        <v>16</v>
      </c>
      <c r="H17" s="10" t="str">
        <f>IF(MONTH(DATE($B$2,5,1)-WEEKDAY(DATE($B$2,5,1),2)+1+7*2+6)&lt;&gt;5,"",DAY(DATE($B$2,5,1)-WEEKDAY(DATE($B$2,5,1),2)+1+7*2+6)&amp;IFERROR(CHAR(10)&amp;VLOOKUP(DATE($B$2,5,1)-WEEKDAY(DATE($B$2,5,1),2)+1+7*2+6,$AM$3:$AN$15,2,FALSE),""))</f>
        <v>17</v>
      </c>
      <c r="J17" s="20">
        <f>IF(AND(MONTH(DATE($B$2,6,1)-WEEKDAY(DATE($B$2,6,1),2)+1+7*2)&lt;&gt;6,MONTH((DATE($B$2,6,1)-WEEKDAY(DATE($B$2,6,1),2)+1+7*2)+6)&lt;&gt;6),"",INT(((DATE($B$2,6,1)-WEEKDAY(DATE($B$2,6,1),2)+1+7*2)-(DATE(YEAR((DATE($B$2,6,1)-WEEKDAY(DATE($B$2,6,1),2)+1+7*2)-WEEKDAY((DATE($B$2,6,1)-WEEKDAY(DATE($B$2,6,1),2)+1+7*2),2)+4),1,4)-WEEKDAY(DATE(YEAR((DATE($B$2,6,1)-WEEKDAY(DATE($B$2,6,1),2)+1+7*2)-WEEKDAY((DATE($B$2,6,1)-WEEKDAY(DATE($B$2,6,1),2)+1+7*2),2)+4),1,4),2)+1))/7)+1)</f>
        <v>25</v>
      </c>
      <c r="K17" s="8" t="str">
        <f>IF(MONTH(DATE($B$2,6,1)-WEEKDAY(DATE($B$2,6,1),2)+1+7*2+0)&lt;&gt;6,"",DAY(DATE($B$2,6,1)-WEEKDAY(DATE($B$2,6,1),2)+1+7*2+0)&amp;IFERROR(CHAR(10)&amp;VLOOKUP(DATE($B$2,6,1)-WEEKDAY(DATE($B$2,6,1),2)+1+7*2+0,$AM$3:$AN$15,2,FALSE),""))</f>
        <v>15</v>
      </c>
      <c r="L17" s="8" t="str">
        <f>IF(MONTH(DATE($B$2,6,1)-WEEKDAY(DATE($B$2,6,1),2)+1+7*2+1)&lt;&gt;6,"",DAY(DATE($B$2,6,1)-WEEKDAY(DATE($B$2,6,1),2)+1+7*2+1)&amp;IFERROR(CHAR(10)&amp;VLOOKUP(DATE($B$2,6,1)-WEEKDAY(DATE($B$2,6,1),2)+1+7*2+1,$AM$3:$AN$15,2,FALSE),""))</f>
        <v>16</v>
      </c>
      <c r="M17" s="8" t="str">
        <f>IF(MONTH(DATE($B$2,6,1)-WEEKDAY(DATE($B$2,6,1),2)+1+7*2+2)&lt;&gt;6,"",DAY(DATE($B$2,6,1)-WEEKDAY(DATE($B$2,6,1),2)+1+7*2+2)&amp;IFERROR(CHAR(10)&amp;VLOOKUP(DATE($B$2,6,1)-WEEKDAY(DATE($B$2,6,1),2)+1+7*2+2,$AM$3:$AN$15,2,FALSE),""))</f>
        <v>17</v>
      </c>
      <c r="N17" s="8" t="str">
        <f>IF(MONTH(DATE($B$2,6,1)-WEEKDAY(DATE($B$2,6,1),2)+1+7*2+3)&lt;&gt;6,"",DAY(DATE($B$2,6,1)-WEEKDAY(DATE($B$2,6,1),2)+1+7*2+3)&amp;IFERROR(CHAR(10)&amp;VLOOKUP(DATE($B$2,6,1)-WEEKDAY(DATE($B$2,6,1),2)+1+7*2+3,$AM$3:$AN$15,2,FALSE),""))</f>
        <v>18</v>
      </c>
      <c r="O17" s="8" t="str">
        <f>IF(MONTH(DATE($B$2,6,1)-WEEKDAY(DATE($B$2,6,1),2)+1+7*2+4)&lt;&gt;6,"",DAY(DATE($B$2,6,1)-WEEKDAY(DATE($B$2,6,1),2)+1+7*2+4)&amp;IFERROR(CHAR(10)&amp;VLOOKUP(DATE($B$2,6,1)-WEEKDAY(DATE($B$2,6,1),2)+1+7*2+4,$AM$3:$AN$15,2,FALSE),""))</f>
        <v>19</v>
      </c>
      <c r="P17" s="9" t="str">
        <f>IF(MONTH(DATE($B$2,6,1)-WEEKDAY(DATE($B$2,6,1),2)+1+7*2+5)&lt;&gt;6,"",DAY(DATE($B$2,6,1)-WEEKDAY(DATE($B$2,6,1),2)+1+7*2+5)&amp;IFERROR(CHAR(10)&amp;VLOOKUP(DATE($B$2,6,1)-WEEKDAY(DATE($B$2,6,1),2)+1+7*2+5,$AM$3:$AN$15,2,FALSE),""))</f>
        <v>20</v>
      </c>
      <c r="Q17" s="10" t="str">
        <f>IF(MONTH(DATE($B$2,6,1)-WEEKDAY(DATE($B$2,6,1),2)+1+7*2+6)&lt;&gt;6,"",DAY(DATE($B$2,6,1)-WEEKDAY(DATE($B$2,6,1),2)+1+7*2+6)&amp;IFERROR(CHAR(10)&amp;VLOOKUP(DATE($B$2,6,1)-WEEKDAY(DATE($B$2,6,1),2)+1+7*2+6,$AM$3:$AN$15,2,FALSE),""))</f>
        <v>21</v>
      </c>
      <c r="S17" s="20">
        <f>IF(AND(MONTH(DATE($B$2,7,1)-WEEKDAY(DATE($B$2,7,1),2)+1+7*2)&lt;&gt;7,MONTH((DATE($B$2,7,1)-WEEKDAY(DATE($B$2,7,1),2)+1+7*2)+6)&lt;&gt;7),"",INT(((DATE($B$2,7,1)-WEEKDAY(DATE($B$2,7,1),2)+1+7*2)-(DATE(YEAR((DATE($B$2,7,1)-WEEKDAY(DATE($B$2,7,1),2)+1+7*2)-WEEKDAY((DATE($B$2,7,1)-WEEKDAY(DATE($B$2,7,1),2)+1+7*2),2)+4),1,4)-WEEKDAY(DATE(YEAR((DATE($B$2,7,1)-WEEKDAY(DATE($B$2,7,1),2)+1+7*2)-WEEKDAY((DATE($B$2,7,1)-WEEKDAY(DATE($B$2,7,1),2)+1+7*2),2)+4),1,4),2)+1))/7)+1)</f>
        <v>29</v>
      </c>
      <c r="T17" s="8" t="str">
        <f>IF(MONTH(DATE($B$2,7,1)-WEEKDAY(DATE($B$2,7,1),2)+1+7*2+0)&lt;&gt;7,"",DAY(DATE($B$2,7,1)-WEEKDAY(DATE($B$2,7,1),2)+1+7*2+0)&amp;IFERROR(CHAR(10)&amp;VLOOKUP(DATE($B$2,7,1)-WEEKDAY(DATE($B$2,7,1),2)+1+7*2+0,$AM$3:$AN$15,2,FALSE),""))</f>
        <v>13</v>
      </c>
      <c r="U17" s="8" t="str">
        <f>IF(MONTH(DATE($B$2,7,1)-WEEKDAY(DATE($B$2,7,1),2)+1+7*2+1)&lt;&gt;7,"",DAY(DATE($B$2,7,1)-WEEKDAY(DATE($B$2,7,1),2)+1+7*2+1)&amp;IFERROR(CHAR(10)&amp;VLOOKUP(DATE($B$2,7,1)-WEEKDAY(DATE($B$2,7,1),2)+1+7*2+1,$AM$3:$AN$15,2,FALSE),""))</f>
        <v>14</v>
      </c>
      <c r="V17" s="8" t="str">
        <f>IF(MONTH(DATE($B$2,7,1)-WEEKDAY(DATE($B$2,7,1),2)+1+7*2+2)&lt;&gt;7,"",DAY(DATE($B$2,7,1)-WEEKDAY(DATE($B$2,7,1),2)+1+7*2+2)&amp;IFERROR(CHAR(10)&amp;VLOOKUP(DATE($B$2,7,1)-WEEKDAY(DATE($B$2,7,1),2)+1+7*2+2,$AM$3:$AN$15,2,FALSE),""))</f>
        <v>15</v>
      </c>
      <c r="W17" s="8" t="str">
        <f>IF(MONTH(DATE($B$2,7,1)-WEEKDAY(DATE($B$2,7,1),2)+1+7*2+3)&lt;&gt;7,"",DAY(DATE($B$2,7,1)-WEEKDAY(DATE($B$2,7,1),2)+1+7*2+3)&amp;IFERROR(CHAR(10)&amp;VLOOKUP(DATE($B$2,7,1)-WEEKDAY(DATE($B$2,7,1),2)+1+7*2+3,$AM$3:$AN$15,2,FALSE),""))</f>
        <v>16</v>
      </c>
      <c r="X17" s="8" t="str">
        <f>IF(MONTH(DATE($B$2,7,1)-WEEKDAY(DATE($B$2,7,1),2)+1+7*2+4)&lt;&gt;7,"",DAY(DATE($B$2,7,1)-WEEKDAY(DATE($B$2,7,1),2)+1+7*2+4)&amp;IFERROR(CHAR(10)&amp;VLOOKUP(DATE($B$2,7,1)-WEEKDAY(DATE($B$2,7,1),2)+1+7*2+4,$AM$3:$AN$15,2,FALSE),""))</f>
        <v>17</v>
      </c>
      <c r="Y17" s="9" t="str">
        <f>IF(MONTH(DATE($B$2,7,1)-WEEKDAY(DATE($B$2,7,1),2)+1+7*2+5)&lt;&gt;7,"",DAY(DATE($B$2,7,1)-WEEKDAY(DATE($B$2,7,1),2)+1+7*2+5)&amp;IFERROR(CHAR(10)&amp;VLOOKUP(DATE($B$2,7,1)-WEEKDAY(DATE($B$2,7,1),2)+1+7*2+5,$AM$3:$AN$15,2,FALSE),""))</f>
        <v>18</v>
      </c>
      <c r="Z17" s="10" t="str">
        <f>IF(MONTH(DATE($B$2,7,1)-WEEKDAY(DATE($B$2,7,1),2)+1+7*2+6)&lt;&gt;7,"",DAY(DATE($B$2,7,1)-WEEKDAY(DATE($B$2,7,1),2)+1+7*2+6)&amp;IFERROR(CHAR(10)&amp;VLOOKUP(DATE($B$2,7,1)-WEEKDAY(DATE($B$2,7,1),2)+1+7*2+6,$AM$3:$AN$15,2,FALSE),""))</f>
        <v>19</v>
      </c>
      <c r="AB17" s="20">
        <f>IF(AND(MONTH(DATE($B$2,8,1)-WEEKDAY(DATE($B$2,8,1),2)+1+7*2)&lt;&gt;8,MONTH((DATE($B$2,8,1)-WEEKDAY(DATE($B$2,8,1),2)+1+7*2)+6)&lt;&gt;8),"",INT(((DATE($B$2,8,1)-WEEKDAY(DATE($B$2,8,1),2)+1+7*2)-(DATE(YEAR((DATE($B$2,8,1)-WEEKDAY(DATE($B$2,8,1),2)+1+7*2)-WEEKDAY((DATE($B$2,8,1)-WEEKDAY(DATE($B$2,8,1),2)+1+7*2),2)+4),1,4)-WEEKDAY(DATE(YEAR((DATE($B$2,8,1)-WEEKDAY(DATE($B$2,8,1),2)+1+7*2)-WEEKDAY((DATE($B$2,8,1)-WEEKDAY(DATE($B$2,8,1),2)+1+7*2),2)+4),1,4),2)+1))/7)+1)</f>
        <v>33</v>
      </c>
      <c r="AC17" s="8" t="str">
        <f>IF(MONTH(DATE($B$2,8,1)-WEEKDAY(DATE($B$2,8,1),2)+1+7*2+0)&lt;&gt;8,"",DAY(DATE($B$2,8,1)-WEEKDAY(DATE($B$2,8,1),2)+1+7*2+0)&amp;IFERROR(CHAR(10)&amp;VLOOKUP(DATE($B$2,8,1)-WEEKDAY(DATE($B$2,8,1),2)+1+7*2+0,$AM$3:$AN$15,2,FALSE),""))</f>
        <v>10</v>
      </c>
      <c r="AD17" s="8" t="str">
        <f>IF(MONTH(DATE($B$2,8,1)-WEEKDAY(DATE($B$2,8,1),2)+1+7*2+1)&lt;&gt;8,"",DAY(DATE($B$2,8,1)-WEEKDAY(DATE($B$2,8,1),2)+1+7*2+1)&amp;IFERROR(CHAR(10)&amp;VLOOKUP(DATE($B$2,8,1)-WEEKDAY(DATE($B$2,8,1),2)+1+7*2+1,$AM$3:$AN$15,2,FALSE),""))</f>
        <v>11</v>
      </c>
      <c r="AE17" s="8" t="str">
        <f>IF(MONTH(DATE($B$2,8,1)-WEEKDAY(DATE($B$2,8,1),2)+1+7*2+2)&lt;&gt;8,"",DAY(DATE($B$2,8,1)-WEEKDAY(DATE($B$2,8,1),2)+1+7*2+2)&amp;IFERROR(CHAR(10)&amp;VLOOKUP(DATE($B$2,8,1)-WEEKDAY(DATE($B$2,8,1),2)+1+7*2+2,$AM$3:$AN$15,2,FALSE),""))</f>
        <v>12</v>
      </c>
      <c r="AF17" s="8" t="str">
        <f>IF(MONTH(DATE($B$2,8,1)-WEEKDAY(DATE($B$2,8,1),2)+1+7*2+3)&lt;&gt;8,"",DAY(DATE($B$2,8,1)-WEEKDAY(DATE($B$2,8,1),2)+1+7*2+3)&amp;IFERROR(CHAR(10)&amp;VLOOKUP(DATE($B$2,8,1)-WEEKDAY(DATE($B$2,8,1),2)+1+7*2+3,$AM$3:$AN$15,2,FALSE),""))</f>
        <v>13</v>
      </c>
      <c r="AG17" s="8" t="str">
        <f>IF(MONTH(DATE($B$2,8,1)-WEEKDAY(DATE($B$2,8,1),2)+1+7*2+4)&lt;&gt;8,"",DAY(DATE($B$2,8,1)-WEEKDAY(DATE($B$2,8,1),2)+1+7*2+4)&amp;IFERROR(CHAR(10)&amp;VLOOKUP(DATE($B$2,8,1)-WEEKDAY(DATE($B$2,8,1),2)+1+7*2+4,$AM$3:$AN$15,2,FALSE),""))</f>
        <v>14</v>
      </c>
      <c r="AH17" s="9" t="str">
        <f>IF(MONTH(DATE($B$2,8,1)-WEEKDAY(DATE($B$2,8,1),2)+1+7*2+5)&lt;&gt;8,"",DAY(DATE($B$2,8,1)-WEEKDAY(DATE($B$2,8,1),2)+1+7*2+5)&amp;IFERROR(CHAR(10)&amp;VLOOKUP(DATE($B$2,8,1)-WEEKDAY(DATE($B$2,8,1),2)+1+7*2+5,$AM$3:$AN$15,2,FALSE),""))</f>
        <v>15</v>
      </c>
      <c r="AI17" s="10" t="str">
        <f>IF(MONTH(DATE($B$2,8,1)-WEEKDAY(DATE($B$2,8,1),2)+1+7*2+6)&lt;&gt;8,"",DAY(DATE($B$2,8,1)-WEEKDAY(DATE($B$2,8,1),2)+1+7*2+6)&amp;IFERROR(CHAR(10)&amp;VLOOKUP(DATE($B$2,8,1)-WEEKDAY(DATE($B$2,8,1),2)+1+7*2+6,$AM$3:$AN$15,2,FALSE),""))</f>
        <v>16</v>
      </c>
    </row>
    <row r="18" spans="1:35" ht="29.1" customHeight="1" x14ac:dyDescent="0.25">
      <c r="A18" s="20">
        <f>IF(AND(MONTH(DATE($B$2,5,1)-WEEKDAY(DATE($B$2,5,1),2)+1+7*3)&lt;&gt;5,MONTH((DATE($B$2,5,1)-WEEKDAY(DATE($B$2,5,1),2)+1+7*3)+6)&lt;&gt;5),"",INT(((DATE($B$2,5,1)-WEEKDAY(DATE($B$2,5,1),2)+1+7*3)-(DATE(YEAR((DATE($B$2,5,1)-WEEKDAY(DATE($B$2,5,1),2)+1+7*3)-WEEKDAY((DATE($B$2,5,1)-WEEKDAY(DATE($B$2,5,1),2)+1+7*3),2)+4),1,4)-WEEKDAY(DATE(YEAR((DATE($B$2,5,1)-WEEKDAY(DATE($B$2,5,1),2)+1+7*3)-WEEKDAY((DATE($B$2,5,1)-WEEKDAY(DATE($B$2,5,1),2)+1+7*3),2)+4),1,4),2)+1))/7)+1)</f>
        <v>21</v>
      </c>
      <c r="B18" s="8" t="str">
        <f>IF(MONTH(DATE($B$2,5,1)-WEEKDAY(DATE($B$2,5,1),2)+1+7*3+0)&lt;&gt;5,"",DAY(DATE($B$2,5,1)-WEEKDAY(DATE($B$2,5,1),2)+1+7*3+0)&amp;IFERROR(CHAR(10)&amp;VLOOKUP(DATE($B$2,5,1)-WEEKDAY(DATE($B$2,5,1),2)+1+7*3+0,$AM$3:$AN$15,2,FALSE),""))</f>
        <v>18</v>
      </c>
      <c r="C18" s="8" t="str">
        <f>IF(MONTH(DATE($B$2,5,1)-WEEKDAY(DATE($B$2,5,1),2)+1+7*3+1)&lt;&gt;5,"",DAY(DATE($B$2,5,1)-WEEKDAY(DATE($B$2,5,1),2)+1+7*3+1)&amp;IFERROR(CHAR(10)&amp;VLOOKUP(DATE($B$2,5,1)-WEEKDAY(DATE($B$2,5,1),2)+1+7*3+1,$AM$3:$AN$15,2,FALSE),""))</f>
        <v>19</v>
      </c>
      <c r="D18" s="8" t="str">
        <f>IF(MONTH(DATE($B$2,5,1)-WEEKDAY(DATE($B$2,5,1),2)+1+7*3+2)&lt;&gt;5,"",DAY(DATE($B$2,5,1)-WEEKDAY(DATE($B$2,5,1),2)+1+7*3+2)&amp;IFERROR(CHAR(10)&amp;VLOOKUP(DATE($B$2,5,1)-WEEKDAY(DATE($B$2,5,1),2)+1+7*3+2,$AM$3:$AN$15,2,FALSE),""))</f>
        <v>20</v>
      </c>
      <c r="E18" s="8" t="str">
        <f>IF(MONTH(DATE($B$2,5,1)-WEEKDAY(DATE($B$2,5,1),2)+1+7*3+3)&lt;&gt;5,"",DAY(DATE($B$2,5,1)-WEEKDAY(DATE($B$2,5,1),2)+1+7*3+3)&amp;IFERROR(CHAR(10)&amp;VLOOKUP(DATE($B$2,5,1)-WEEKDAY(DATE($B$2,5,1),2)+1+7*3+3,$AM$3:$AN$15,2,FALSE),""))</f>
        <v>21</v>
      </c>
      <c r="F18" s="8" t="str">
        <f>IF(MONTH(DATE($B$2,5,1)-WEEKDAY(DATE($B$2,5,1),2)+1+7*3+4)&lt;&gt;5,"",DAY(DATE($B$2,5,1)-WEEKDAY(DATE($B$2,5,1),2)+1+7*3+4)&amp;IFERROR(CHAR(10)&amp;VLOOKUP(DATE($B$2,5,1)-WEEKDAY(DATE($B$2,5,1),2)+1+7*3+4,$AM$3:$AN$15,2,FALSE),""))</f>
        <v>22</v>
      </c>
      <c r="G18" s="9" t="str">
        <f>IF(MONTH(DATE($B$2,5,1)-WEEKDAY(DATE($B$2,5,1),2)+1+7*3+5)&lt;&gt;5,"",DAY(DATE($B$2,5,1)-WEEKDAY(DATE($B$2,5,1),2)+1+7*3+5)&amp;IFERROR(CHAR(10)&amp;VLOOKUP(DATE($B$2,5,1)-WEEKDAY(DATE($B$2,5,1),2)+1+7*3+5,$AM$3:$AN$15,2,FALSE),""))</f>
        <v>23</v>
      </c>
      <c r="H18" s="10" t="str">
        <f>IF(MONTH(DATE($B$2,5,1)-WEEKDAY(DATE($B$2,5,1),2)+1+7*3+6)&lt;&gt;5,"",DAY(DATE($B$2,5,1)-WEEKDAY(DATE($B$2,5,1),2)+1+7*3+6)&amp;IFERROR(CHAR(10)&amp;VLOOKUP(DATE($B$2,5,1)-WEEKDAY(DATE($B$2,5,1),2)+1+7*3+6,$AM$3:$AN$15,2,FALSE),""))</f>
        <v>24</v>
      </c>
      <c r="J18" s="20">
        <f>IF(AND(MONTH(DATE($B$2,6,1)-WEEKDAY(DATE($B$2,6,1),2)+1+7*3)&lt;&gt;6,MONTH((DATE($B$2,6,1)-WEEKDAY(DATE($B$2,6,1),2)+1+7*3)+6)&lt;&gt;6),"",INT(((DATE($B$2,6,1)-WEEKDAY(DATE($B$2,6,1),2)+1+7*3)-(DATE(YEAR((DATE($B$2,6,1)-WEEKDAY(DATE($B$2,6,1),2)+1+7*3)-WEEKDAY((DATE($B$2,6,1)-WEEKDAY(DATE($B$2,6,1),2)+1+7*3),2)+4),1,4)-WEEKDAY(DATE(YEAR((DATE($B$2,6,1)-WEEKDAY(DATE($B$2,6,1),2)+1+7*3)-WEEKDAY((DATE($B$2,6,1)-WEEKDAY(DATE($B$2,6,1),2)+1+7*3),2)+4),1,4),2)+1))/7)+1)</f>
        <v>26</v>
      </c>
      <c r="K18" s="8" t="str">
        <f>IF(MONTH(DATE($B$2,6,1)-WEEKDAY(DATE($B$2,6,1),2)+1+7*3+0)&lt;&gt;6,"",DAY(DATE($B$2,6,1)-WEEKDAY(DATE($B$2,6,1),2)+1+7*3+0)&amp;IFERROR(CHAR(10)&amp;VLOOKUP(DATE($B$2,6,1)-WEEKDAY(DATE($B$2,6,1),2)+1+7*3+0,$AM$3:$AN$15,2,FALSE),""))</f>
        <v>22</v>
      </c>
      <c r="L18" s="8" t="str">
        <f>IF(MONTH(DATE($B$2,6,1)-WEEKDAY(DATE($B$2,6,1),2)+1+7*3+1)&lt;&gt;6,"",DAY(DATE($B$2,6,1)-WEEKDAY(DATE($B$2,6,1),2)+1+7*3+1)&amp;IFERROR(CHAR(10)&amp;VLOOKUP(DATE($B$2,6,1)-WEEKDAY(DATE($B$2,6,1),2)+1+7*3+1,$AM$3:$AN$15,2,FALSE),""))</f>
        <v>23</v>
      </c>
      <c r="M18" s="8" t="str">
        <f>IF(MONTH(DATE($B$2,6,1)-WEEKDAY(DATE($B$2,6,1),2)+1+7*3+2)&lt;&gt;6,"",DAY(DATE($B$2,6,1)-WEEKDAY(DATE($B$2,6,1),2)+1+7*3+2)&amp;IFERROR(CHAR(10)&amp;VLOOKUP(DATE($B$2,6,1)-WEEKDAY(DATE($B$2,6,1),2)+1+7*3+2,$AM$3:$AN$15,2,FALSE),""))</f>
        <v>24</v>
      </c>
      <c r="N18" s="8" t="str">
        <f>IF(MONTH(DATE($B$2,6,1)-WEEKDAY(DATE($B$2,6,1),2)+1+7*3+3)&lt;&gt;6,"",DAY(DATE($B$2,6,1)-WEEKDAY(DATE($B$2,6,1),2)+1+7*3+3)&amp;IFERROR(CHAR(10)&amp;VLOOKUP(DATE($B$2,6,1)-WEEKDAY(DATE($B$2,6,1),2)+1+7*3+3,$AM$3:$AN$15,2,FALSE),""))</f>
        <v>25</v>
      </c>
      <c r="O18" s="8" t="str">
        <f>IF(MONTH(DATE($B$2,6,1)-WEEKDAY(DATE($B$2,6,1),2)+1+7*3+4)&lt;&gt;6,"",DAY(DATE($B$2,6,1)-WEEKDAY(DATE($B$2,6,1),2)+1+7*3+4)&amp;IFERROR(CHAR(10)&amp;VLOOKUP(DATE($B$2,6,1)-WEEKDAY(DATE($B$2,6,1),2)+1+7*3+4,$AM$3:$AN$15,2,FALSE),""))</f>
        <v>26</v>
      </c>
      <c r="P18" s="9" t="str">
        <f>IF(MONTH(DATE($B$2,6,1)-WEEKDAY(DATE($B$2,6,1),2)+1+7*3+5)&lt;&gt;6,"",DAY(DATE($B$2,6,1)-WEEKDAY(DATE($B$2,6,1),2)+1+7*3+5)&amp;IFERROR(CHAR(10)&amp;VLOOKUP(DATE($B$2,6,1)-WEEKDAY(DATE($B$2,6,1),2)+1+7*3+5,$AM$3:$AN$15,2,FALSE),""))</f>
        <v>27</v>
      </c>
      <c r="Q18" s="10" t="str">
        <f>IF(MONTH(DATE($B$2,6,1)-WEEKDAY(DATE($B$2,6,1),2)+1+7*3+6)&lt;&gt;6,"",DAY(DATE($B$2,6,1)-WEEKDAY(DATE($B$2,6,1),2)+1+7*3+6)&amp;IFERROR(CHAR(10)&amp;VLOOKUP(DATE($B$2,6,1)-WEEKDAY(DATE($B$2,6,1),2)+1+7*3+6,$AM$3:$AN$15,2,FALSE),""))</f>
        <v>28</v>
      </c>
      <c r="S18" s="20">
        <f>IF(AND(MONTH(DATE($B$2,7,1)-WEEKDAY(DATE($B$2,7,1),2)+1+7*3)&lt;&gt;7,MONTH((DATE($B$2,7,1)-WEEKDAY(DATE($B$2,7,1),2)+1+7*3)+6)&lt;&gt;7),"",INT(((DATE($B$2,7,1)-WEEKDAY(DATE($B$2,7,1),2)+1+7*3)-(DATE(YEAR((DATE($B$2,7,1)-WEEKDAY(DATE($B$2,7,1),2)+1+7*3)-WEEKDAY((DATE($B$2,7,1)-WEEKDAY(DATE($B$2,7,1),2)+1+7*3),2)+4),1,4)-WEEKDAY(DATE(YEAR((DATE($B$2,7,1)-WEEKDAY(DATE($B$2,7,1),2)+1+7*3)-WEEKDAY((DATE($B$2,7,1)-WEEKDAY(DATE($B$2,7,1),2)+1+7*3),2)+4),1,4),2)+1))/7)+1)</f>
        <v>30</v>
      </c>
      <c r="T18" s="8" t="str">
        <f>IF(MONTH(DATE($B$2,7,1)-WEEKDAY(DATE($B$2,7,1),2)+1+7*3+0)&lt;&gt;7,"",DAY(DATE($B$2,7,1)-WEEKDAY(DATE($B$2,7,1),2)+1+7*3+0)&amp;IFERROR(CHAR(10)&amp;VLOOKUP(DATE($B$2,7,1)-WEEKDAY(DATE($B$2,7,1),2)+1+7*3+0,$AM$3:$AN$15,2,FALSE),""))</f>
        <v>20</v>
      </c>
      <c r="U18" s="8" t="str">
        <f>IF(MONTH(DATE($B$2,7,1)-WEEKDAY(DATE($B$2,7,1),2)+1+7*3+1)&lt;&gt;7,"",DAY(DATE($B$2,7,1)-WEEKDAY(DATE($B$2,7,1),2)+1+7*3+1)&amp;IFERROR(CHAR(10)&amp;VLOOKUP(DATE($B$2,7,1)-WEEKDAY(DATE($B$2,7,1),2)+1+7*3+1,$AM$3:$AN$15,2,FALSE),""))</f>
        <v>21</v>
      </c>
      <c r="V18" s="8" t="str">
        <f>IF(MONTH(DATE($B$2,7,1)-WEEKDAY(DATE($B$2,7,1),2)+1+7*3+2)&lt;&gt;7,"",DAY(DATE($B$2,7,1)-WEEKDAY(DATE($B$2,7,1),2)+1+7*3+2)&amp;IFERROR(CHAR(10)&amp;VLOOKUP(DATE($B$2,7,1)-WEEKDAY(DATE($B$2,7,1),2)+1+7*3+2,$AM$3:$AN$15,2,FALSE),""))</f>
        <v>22
Urlaub</v>
      </c>
      <c r="W18" s="8" t="str">
        <f>IF(MONTH(DATE($B$2,7,1)-WEEKDAY(DATE($B$2,7,1),2)+1+7*3+3)&lt;&gt;7,"",DAY(DATE($B$2,7,1)-WEEKDAY(DATE($B$2,7,1),2)+1+7*3+3)&amp;IFERROR(CHAR(10)&amp;VLOOKUP(DATE($B$2,7,1)-WEEKDAY(DATE($B$2,7,1),2)+1+7*3+3,$AM$3:$AN$15,2,FALSE),""))</f>
        <v>23</v>
      </c>
      <c r="X18" s="8" t="str">
        <f>IF(MONTH(DATE($B$2,7,1)-WEEKDAY(DATE($B$2,7,1),2)+1+7*3+4)&lt;&gt;7,"",DAY(DATE($B$2,7,1)-WEEKDAY(DATE($B$2,7,1),2)+1+7*3+4)&amp;IFERROR(CHAR(10)&amp;VLOOKUP(DATE($B$2,7,1)-WEEKDAY(DATE($B$2,7,1),2)+1+7*3+4,$AM$3:$AN$15,2,FALSE),""))</f>
        <v>24</v>
      </c>
      <c r="Y18" s="9" t="str">
        <f>IF(MONTH(DATE($B$2,7,1)-WEEKDAY(DATE($B$2,7,1),2)+1+7*3+5)&lt;&gt;7,"",DAY(DATE($B$2,7,1)-WEEKDAY(DATE($B$2,7,1),2)+1+7*3+5)&amp;IFERROR(CHAR(10)&amp;VLOOKUP(DATE($B$2,7,1)-WEEKDAY(DATE($B$2,7,1),2)+1+7*3+5,$AM$3:$AN$15,2,FALSE),""))</f>
        <v>25</v>
      </c>
      <c r="Z18" s="10" t="str">
        <f>IF(MONTH(DATE($B$2,7,1)-WEEKDAY(DATE($B$2,7,1),2)+1+7*3+6)&lt;&gt;7,"",DAY(DATE($B$2,7,1)-WEEKDAY(DATE($B$2,7,1),2)+1+7*3+6)&amp;IFERROR(CHAR(10)&amp;VLOOKUP(DATE($B$2,7,1)-WEEKDAY(DATE($B$2,7,1),2)+1+7*3+6,$AM$3:$AN$15,2,FALSE),""))</f>
        <v>26</v>
      </c>
      <c r="AB18" s="20">
        <f>IF(AND(MONTH(DATE($B$2,8,1)-WEEKDAY(DATE($B$2,8,1),2)+1+7*3)&lt;&gt;8,MONTH((DATE($B$2,8,1)-WEEKDAY(DATE($B$2,8,1),2)+1+7*3)+6)&lt;&gt;8),"",INT(((DATE($B$2,8,1)-WEEKDAY(DATE($B$2,8,1),2)+1+7*3)-(DATE(YEAR((DATE($B$2,8,1)-WEEKDAY(DATE($B$2,8,1),2)+1+7*3)-WEEKDAY((DATE($B$2,8,1)-WEEKDAY(DATE($B$2,8,1),2)+1+7*3),2)+4),1,4)-WEEKDAY(DATE(YEAR((DATE($B$2,8,1)-WEEKDAY(DATE($B$2,8,1),2)+1+7*3)-WEEKDAY((DATE($B$2,8,1)-WEEKDAY(DATE($B$2,8,1),2)+1+7*3),2)+4),1,4),2)+1))/7)+1)</f>
        <v>34</v>
      </c>
      <c r="AC18" s="8" t="str">
        <f>IF(MONTH(DATE($B$2,8,1)-WEEKDAY(DATE($B$2,8,1),2)+1+7*3+0)&lt;&gt;8,"",DAY(DATE($B$2,8,1)-WEEKDAY(DATE($B$2,8,1),2)+1+7*3+0)&amp;IFERROR(CHAR(10)&amp;VLOOKUP(DATE($B$2,8,1)-WEEKDAY(DATE($B$2,8,1),2)+1+7*3+0,$AM$3:$AN$15,2,FALSE),""))</f>
        <v>17</v>
      </c>
      <c r="AD18" s="8" t="str">
        <f>IF(MONTH(DATE($B$2,8,1)-WEEKDAY(DATE($B$2,8,1),2)+1+7*3+1)&lt;&gt;8,"",DAY(DATE($B$2,8,1)-WEEKDAY(DATE($B$2,8,1),2)+1+7*3+1)&amp;IFERROR(CHAR(10)&amp;VLOOKUP(DATE($B$2,8,1)-WEEKDAY(DATE($B$2,8,1),2)+1+7*3+1,$AM$3:$AN$15,2,FALSE),""))</f>
        <v>18</v>
      </c>
      <c r="AE18" s="8" t="str">
        <f>IF(MONTH(DATE($B$2,8,1)-WEEKDAY(DATE($B$2,8,1),2)+1+7*3+2)&lt;&gt;8,"",DAY(DATE($B$2,8,1)-WEEKDAY(DATE($B$2,8,1),2)+1+7*3+2)&amp;IFERROR(CHAR(10)&amp;VLOOKUP(DATE($B$2,8,1)-WEEKDAY(DATE($B$2,8,1),2)+1+7*3+2,$AM$3:$AN$15,2,FALSE),""))</f>
        <v>19</v>
      </c>
      <c r="AF18" s="8" t="str">
        <f>IF(MONTH(DATE($B$2,8,1)-WEEKDAY(DATE($B$2,8,1),2)+1+7*3+3)&lt;&gt;8,"",DAY(DATE($B$2,8,1)-WEEKDAY(DATE($B$2,8,1),2)+1+7*3+3)&amp;IFERROR(CHAR(10)&amp;VLOOKUP(DATE($B$2,8,1)-WEEKDAY(DATE($B$2,8,1),2)+1+7*3+3,$AM$3:$AN$15,2,FALSE),""))</f>
        <v>20</v>
      </c>
      <c r="AG18" s="8" t="str">
        <f>IF(MONTH(DATE($B$2,8,1)-WEEKDAY(DATE($B$2,8,1),2)+1+7*3+4)&lt;&gt;8,"",DAY(DATE($B$2,8,1)-WEEKDAY(DATE($B$2,8,1),2)+1+7*3+4)&amp;IFERROR(CHAR(10)&amp;VLOOKUP(DATE($B$2,8,1)-WEEKDAY(DATE($B$2,8,1),2)+1+7*3+4,$AM$3:$AN$15,2,FALSE),""))</f>
        <v>21</v>
      </c>
      <c r="AH18" s="9" t="str">
        <f>IF(MONTH(DATE($B$2,8,1)-WEEKDAY(DATE($B$2,8,1),2)+1+7*3+5)&lt;&gt;8,"",DAY(DATE($B$2,8,1)-WEEKDAY(DATE($B$2,8,1),2)+1+7*3+5)&amp;IFERROR(CHAR(10)&amp;VLOOKUP(DATE($B$2,8,1)-WEEKDAY(DATE($B$2,8,1),2)+1+7*3+5,$AM$3:$AN$15,2,FALSE),""))</f>
        <v>22</v>
      </c>
      <c r="AI18" s="10" t="str">
        <f>IF(MONTH(DATE($B$2,8,1)-WEEKDAY(DATE($B$2,8,1),2)+1+7*3+6)&lt;&gt;8,"",DAY(DATE($B$2,8,1)-WEEKDAY(DATE($B$2,8,1),2)+1+7*3+6)&amp;IFERROR(CHAR(10)&amp;VLOOKUP(DATE($B$2,8,1)-WEEKDAY(DATE($B$2,8,1),2)+1+7*3+6,$AM$3:$AN$15,2,FALSE),""))</f>
        <v>23</v>
      </c>
    </row>
    <row r="19" spans="1:35" ht="29.1" customHeight="1" x14ac:dyDescent="0.25">
      <c r="A19" s="20">
        <f>IF(AND(MONTH(DATE($B$2,5,1)-WEEKDAY(DATE($B$2,5,1),2)+1+7*4)&lt;&gt;5,MONTH((DATE($B$2,5,1)-WEEKDAY(DATE($B$2,5,1),2)+1+7*4)+6)&lt;&gt;5),"",INT(((DATE($B$2,5,1)-WEEKDAY(DATE($B$2,5,1),2)+1+7*4)-(DATE(YEAR((DATE($B$2,5,1)-WEEKDAY(DATE($B$2,5,1),2)+1+7*4)-WEEKDAY((DATE($B$2,5,1)-WEEKDAY(DATE($B$2,5,1),2)+1+7*4),2)+4),1,4)-WEEKDAY(DATE(YEAR((DATE($B$2,5,1)-WEEKDAY(DATE($B$2,5,1),2)+1+7*4)-WEEKDAY((DATE($B$2,5,1)-WEEKDAY(DATE($B$2,5,1),2)+1+7*4),2)+4),1,4),2)+1))/7)+1)</f>
        <v>22</v>
      </c>
      <c r="B19" s="8" t="str">
        <f>IF(MONTH(DATE($B$2,5,1)-WEEKDAY(DATE($B$2,5,1),2)+1+7*4+0)&lt;&gt;5,"",DAY(DATE($B$2,5,1)-WEEKDAY(DATE($B$2,5,1),2)+1+7*4+0)&amp;IFERROR(CHAR(10)&amp;VLOOKUP(DATE($B$2,5,1)-WEEKDAY(DATE($B$2,5,1),2)+1+7*4+0,$AM$3:$AN$15,2,FALSE),""))</f>
        <v>25</v>
      </c>
      <c r="C19" s="8" t="str">
        <f>IF(MONTH(DATE($B$2,5,1)-WEEKDAY(DATE($B$2,5,1),2)+1+7*4+1)&lt;&gt;5,"",DAY(DATE($B$2,5,1)-WEEKDAY(DATE($B$2,5,1),2)+1+7*4+1)&amp;IFERROR(CHAR(10)&amp;VLOOKUP(DATE($B$2,5,1)-WEEKDAY(DATE($B$2,5,1),2)+1+7*4+1,$AM$3:$AN$15,2,FALSE),""))</f>
        <v>26</v>
      </c>
      <c r="D19" s="8" t="str">
        <f>IF(MONTH(DATE($B$2,5,1)-WEEKDAY(DATE($B$2,5,1),2)+1+7*4+2)&lt;&gt;5,"",DAY(DATE($B$2,5,1)-WEEKDAY(DATE($B$2,5,1),2)+1+7*4+2)&amp;IFERROR(CHAR(10)&amp;VLOOKUP(DATE($B$2,5,1)-WEEKDAY(DATE($B$2,5,1),2)+1+7*4+2,$AM$3:$AN$15,2,FALSE),""))</f>
        <v>27</v>
      </c>
      <c r="E19" s="8" t="str">
        <f>IF(MONTH(DATE($B$2,5,1)-WEEKDAY(DATE($B$2,5,1),2)+1+7*4+3)&lt;&gt;5,"",DAY(DATE($B$2,5,1)-WEEKDAY(DATE($B$2,5,1),2)+1+7*4+3)&amp;IFERROR(CHAR(10)&amp;VLOOKUP(DATE($B$2,5,1)-WEEKDAY(DATE($B$2,5,1),2)+1+7*4+3,$AM$3:$AN$15,2,FALSE),""))</f>
        <v>28</v>
      </c>
      <c r="F19" s="8" t="str">
        <f>IF(MONTH(DATE($B$2,5,1)-WEEKDAY(DATE($B$2,5,1),2)+1+7*4+4)&lt;&gt;5,"",DAY(DATE($B$2,5,1)-WEEKDAY(DATE($B$2,5,1),2)+1+7*4+4)&amp;IFERROR(CHAR(10)&amp;VLOOKUP(DATE($B$2,5,1)-WEEKDAY(DATE($B$2,5,1),2)+1+7*4+4,$AM$3:$AN$15,2,FALSE),""))</f>
        <v>29</v>
      </c>
      <c r="G19" s="9" t="str">
        <f>IF(MONTH(DATE($B$2,5,1)-WEEKDAY(DATE($B$2,5,1),2)+1+7*4+5)&lt;&gt;5,"",DAY(DATE($B$2,5,1)-WEEKDAY(DATE($B$2,5,1),2)+1+7*4+5)&amp;IFERROR(CHAR(10)&amp;VLOOKUP(DATE($B$2,5,1)-WEEKDAY(DATE($B$2,5,1),2)+1+7*4+5,$AM$3:$AN$15,2,FALSE),""))</f>
        <v>30</v>
      </c>
      <c r="H19" s="10" t="str">
        <f>IF(MONTH(DATE($B$2,5,1)-WEEKDAY(DATE($B$2,5,1),2)+1+7*4+6)&lt;&gt;5,"",DAY(DATE($B$2,5,1)-WEEKDAY(DATE($B$2,5,1),2)+1+7*4+6)&amp;IFERROR(CHAR(10)&amp;VLOOKUP(DATE($B$2,5,1)-WEEKDAY(DATE($B$2,5,1),2)+1+7*4+6,$AM$3:$AN$15,2,FALSE),""))</f>
        <v>31</v>
      </c>
      <c r="J19" s="20">
        <f>IF(AND(MONTH(DATE($B$2,6,1)-WEEKDAY(DATE($B$2,6,1),2)+1+7*4)&lt;&gt;6,MONTH((DATE($B$2,6,1)-WEEKDAY(DATE($B$2,6,1),2)+1+7*4)+6)&lt;&gt;6),"",INT(((DATE($B$2,6,1)-WEEKDAY(DATE($B$2,6,1),2)+1+7*4)-(DATE(YEAR((DATE($B$2,6,1)-WEEKDAY(DATE($B$2,6,1),2)+1+7*4)-WEEKDAY((DATE($B$2,6,1)-WEEKDAY(DATE($B$2,6,1),2)+1+7*4),2)+4),1,4)-WEEKDAY(DATE(YEAR((DATE($B$2,6,1)-WEEKDAY(DATE($B$2,6,1),2)+1+7*4)-WEEKDAY((DATE($B$2,6,1)-WEEKDAY(DATE($B$2,6,1),2)+1+7*4),2)+4),1,4),2)+1))/7)+1)</f>
        <v>27</v>
      </c>
      <c r="K19" s="8" t="str">
        <f>IF(MONTH(DATE($B$2,6,1)-WEEKDAY(DATE($B$2,6,1),2)+1+7*4+0)&lt;&gt;6,"",DAY(DATE($B$2,6,1)-WEEKDAY(DATE($B$2,6,1),2)+1+7*4+0)&amp;IFERROR(CHAR(10)&amp;VLOOKUP(DATE($B$2,6,1)-WEEKDAY(DATE($B$2,6,1),2)+1+7*4+0,$AM$3:$AN$15,2,FALSE),""))</f>
        <v>29</v>
      </c>
      <c r="L19" s="8" t="str">
        <f>IF(MONTH(DATE($B$2,6,1)-WEEKDAY(DATE($B$2,6,1),2)+1+7*4+1)&lt;&gt;6,"",DAY(DATE($B$2,6,1)-WEEKDAY(DATE($B$2,6,1),2)+1+7*4+1)&amp;IFERROR(CHAR(10)&amp;VLOOKUP(DATE($B$2,6,1)-WEEKDAY(DATE($B$2,6,1),2)+1+7*4+1,$AM$3:$AN$15,2,FALSE),""))</f>
        <v>30</v>
      </c>
      <c r="M19" s="8" t="str">
        <f>IF(MONTH(DATE($B$2,6,1)-WEEKDAY(DATE($B$2,6,1),2)+1+7*4+2)&lt;&gt;6,"",DAY(DATE($B$2,6,1)-WEEKDAY(DATE($B$2,6,1),2)+1+7*4+2)&amp;IFERROR(CHAR(10)&amp;VLOOKUP(DATE($B$2,6,1)-WEEKDAY(DATE($B$2,6,1),2)+1+7*4+2,$AM$3:$AN$15,2,FALSE),""))</f>
        <v/>
      </c>
      <c r="N19" s="8" t="str">
        <f>IF(MONTH(DATE($B$2,6,1)-WEEKDAY(DATE($B$2,6,1),2)+1+7*4+3)&lt;&gt;6,"",DAY(DATE($B$2,6,1)-WEEKDAY(DATE($B$2,6,1),2)+1+7*4+3)&amp;IFERROR(CHAR(10)&amp;VLOOKUP(DATE($B$2,6,1)-WEEKDAY(DATE($B$2,6,1),2)+1+7*4+3,$AM$3:$AN$15,2,FALSE),""))</f>
        <v/>
      </c>
      <c r="O19" s="8" t="str">
        <f>IF(MONTH(DATE($B$2,6,1)-WEEKDAY(DATE($B$2,6,1),2)+1+7*4+4)&lt;&gt;6,"",DAY(DATE($B$2,6,1)-WEEKDAY(DATE($B$2,6,1),2)+1+7*4+4)&amp;IFERROR(CHAR(10)&amp;VLOOKUP(DATE($B$2,6,1)-WEEKDAY(DATE($B$2,6,1),2)+1+7*4+4,$AM$3:$AN$15,2,FALSE),""))</f>
        <v/>
      </c>
      <c r="P19" s="9" t="str">
        <f>IF(MONTH(DATE($B$2,6,1)-WEEKDAY(DATE($B$2,6,1),2)+1+7*4+5)&lt;&gt;6,"",DAY(DATE($B$2,6,1)-WEEKDAY(DATE($B$2,6,1),2)+1+7*4+5)&amp;IFERROR(CHAR(10)&amp;VLOOKUP(DATE($B$2,6,1)-WEEKDAY(DATE($B$2,6,1),2)+1+7*4+5,$AM$3:$AN$15,2,FALSE),""))</f>
        <v/>
      </c>
      <c r="Q19" s="10" t="str">
        <f>IF(MONTH(DATE($B$2,6,1)-WEEKDAY(DATE($B$2,6,1),2)+1+7*4+6)&lt;&gt;6,"",DAY(DATE($B$2,6,1)-WEEKDAY(DATE($B$2,6,1),2)+1+7*4+6)&amp;IFERROR(CHAR(10)&amp;VLOOKUP(DATE($B$2,6,1)-WEEKDAY(DATE($B$2,6,1),2)+1+7*4+6,$AM$3:$AN$15,2,FALSE),""))</f>
        <v/>
      </c>
      <c r="S19" s="20">
        <f>IF(AND(MONTH(DATE($B$2,7,1)-WEEKDAY(DATE($B$2,7,1),2)+1+7*4)&lt;&gt;7,MONTH((DATE($B$2,7,1)-WEEKDAY(DATE($B$2,7,1),2)+1+7*4)+6)&lt;&gt;7),"",INT(((DATE($B$2,7,1)-WEEKDAY(DATE($B$2,7,1),2)+1+7*4)-(DATE(YEAR((DATE($B$2,7,1)-WEEKDAY(DATE($B$2,7,1),2)+1+7*4)-WEEKDAY((DATE($B$2,7,1)-WEEKDAY(DATE($B$2,7,1),2)+1+7*4),2)+4),1,4)-WEEKDAY(DATE(YEAR((DATE($B$2,7,1)-WEEKDAY(DATE($B$2,7,1),2)+1+7*4)-WEEKDAY((DATE($B$2,7,1)-WEEKDAY(DATE($B$2,7,1),2)+1+7*4),2)+4),1,4),2)+1))/7)+1)</f>
        <v>31</v>
      </c>
      <c r="T19" s="8" t="str">
        <f>IF(MONTH(DATE($B$2,7,1)-WEEKDAY(DATE($B$2,7,1),2)+1+7*4+0)&lt;&gt;7,"",DAY(DATE($B$2,7,1)-WEEKDAY(DATE($B$2,7,1),2)+1+7*4+0)&amp;IFERROR(CHAR(10)&amp;VLOOKUP(DATE($B$2,7,1)-WEEKDAY(DATE($B$2,7,1),2)+1+7*4+0,$AM$3:$AN$15,2,FALSE),""))</f>
        <v>27</v>
      </c>
      <c r="U19" s="8" t="str">
        <f>IF(MONTH(DATE($B$2,7,1)-WEEKDAY(DATE($B$2,7,1),2)+1+7*4+1)&lt;&gt;7,"",DAY(DATE($B$2,7,1)-WEEKDAY(DATE($B$2,7,1),2)+1+7*4+1)&amp;IFERROR(CHAR(10)&amp;VLOOKUP(DATE($B$2,7,1)-WEEKDAY(DATE($B$2,7,1),2)+1+7*4+1,$AM$3:$AN$15,2,FALSE),""))</f>
        <v>28</v>
      </c>
      <c r="V19" s="8" t="str">
        <f>IF(MONTH(DATE($B$2,7,1)-WEEKDAY(DATE($B$2,7,1),2)+1+7*4+2)&lt;&gt;7,"",DAY(DATE($B$2,7,1)-WEEKDAY(DATE($B$2,7,1),2)+1+7*4+2)&amp;IFERROR(CHAR(10)&amp;VLOOKUP(DATE($B$2,7,1)-WEEKDAY(DATE($B$2,7,1),2)+1+7*4+2,$AM$3:$AN$15,2,FALSE),""))</f>
        <v>29</v>
      </c>
      <c r="W19" s="8" t="str">
        <f>IF(MONTH(DATE($B$2,7,1)-WEEKDAY(DATE($B$2,7,1),2)+1+7*4+3)&lt;&gt;7,"",DAY(DATE($B$2,7,1)-WEEKDAY(DATE($B$2,7,1),2)+1+7*4+3)&amp;IFERROR(CHAR(10)&amp;VLOOKUP(DATE($B$2,7,1)-WEEKDAY(DATE($B$2,7,1),2)+1+7*4+3,$AM$3:$AN$15,2,FALSE),""))</f>
        <v>30</v>
      </c>
      <c r="X19" s="8" t="str">
        <f>IF(MONTH(DATE($B$2,7,1)-WEEKDAY(DATE($B$2,7,1),2)+1+7*4+4)&lt;&gt;7,"",DAY(DATE($B$2,7,1)-WEEKDAY(DATE($B$2,7,1),2)+1+7*4+4)&amp;IFERROR(CHAR(10)&amp;VLOOKUP(DATE($B$2,7,1)-WEEKDAY(DATE($B$2,7,1),2)+1+7*4+4,$AM$3:$AN$15,2,FALSE),""))</f>
        <v>31</v>
      </c>
      <c r="Y19" s="9" t="str">
        <f>IF(MONTH(DATE($B$2,7,1)-WEEKDAY(DATE($B$2,7,1),2)+1+7*4+5)&lt;&gt;7,"",DAY(DATE($B$2,7,1)-WEEKDAY(DATE($B$2,7,1),2)+1+7*4+5)&amp;IFERROR(CHAR(10)&amp;VLOOKUP(DATE($B$2,7,1)-WEEKDAY(DATE($B$2,7,1),2)+1+7*4+5,$AM$3:$AN$15,2,FALSE),""))</f>
        <v/>
      </c>
      <c r="Z19" s="10" t="str">
        <f>IF(MONTH(DATE($B$2,7,1)-WEEKDAY(DATE($B$2,7,1),2)+1+7*4+6)&lt;&gt;7,"",DAY(DATE($B$2,7,1)-WEEKDAY(DATE($B$2,7,1),2)+1+7*4+6)&amp;IFERROR(CHAR(10)&amp;VLOOKUP(DATE($B$2,7,1)-WEEKDAY(DATE($B$2,7,1),2)+1+7*4+6,$AM$3:$AN$15,2,FALSE),""))</f>
        <v/>
      </c>
      <c r="AB19" s="20">
        <f>IF(AND(MONTH(DATE($B$2,8,1)-WEEKDAY(DATE($B$2,8,1),2)+1+7*4)&lt;&gt;8,MONTH((DATE($B$2,8,1)-WEEKDAY(DATE($B$2,8,1),2)+1+7*4)+6)&lt;&gt;8),"",INT(((DATE($B$2,8,1)-WEEKDAY(DATE($B$2,8,1),2)+1+7*4)-(DATE(YEAR((DATE($B$2,8,1)-WEEKDAY(DATE($B$2,8,1),2)+1+7*4)-WEEKDAY((DATE($B$2,8,1)-WEEKDAY(DATE($B$2,8,1),2)+1+7*4),2)+4),1,4)-WEEKDAY(DATE(YEAR((DATE($B$2,8,1)-WEEKDAY(DATE($B$2,8,1),2)+1+7*4)-WEEKDAY((DATE($B$2,8,1)-WEEKDAY(DATE($B$2,8,1),2)+1+7*4),2)+4),1,4),2)+1))/7)+1)</f>
        <v>35</v>
      </c>
      <c r="AC19" s="8" t="str">
        <f>IF(MONTH(DATE($B$2,8,1)-WEEKDAY(DATE($B$2,8,1),2)+1+7*4+0)&lt;&gt;8,"",DAY(DATE($B$2,8,1)-WEEKDAY(DATE($B$2,8,1),2)+1+7*4+0)&amp;IFERROR(CHAR(10)&amp;VLOOKUP(DATE($B$2,8,1)-WEEKDAY(DATE($B$2,8,1),2)+1+7*4+0,$AM$3:$AN$15,2,FALSE),""))</f>
        <v>24</v>
      </c>
      <c r="AD19" s="8" t="str">
        <f>IF(MONTH(DATE($B$2,8,1)-WEEKDAY(DATE($B$2,8,1),2)+1+7*4+1)&lt;&gt;8,"",DAY(DATE($B$2,8,1)-WEEKDAY(DATE($B$2,8,1),2)+1+7*4+1)&amp;IFERROR(CHAR(10)&amp;VLOOKUP(DATE($B$2,8,1)-WEEKDAY(DATE($B$2,8,1),2)+1+7*4+1,$AM$3:$AN$15,2,FALSE),""))</f>
        <v>25</v>
      </c>
      <c r="AE19" s="8" t="str">
        <f>IF(MONTH(DATE($B$2,8,1)-WEEKDAY(DATE($B$2,8,1),2)+1+7*4+2)&lt;&gt;8,"",DAY(DATE($B$2,8,1)-WEEKDAY(DATE($B$2,8,1),2)+1+7*4+2)&amp;IFERROR(CHAR(10)&amp;VLOOKUP(DATE($B$2,8,1)-WEEKDAY(DATE($B$2,8,1),2)+1+7*4+2,$AM$3:$AN$15,2,FALSE),""))</f>
        <v>26</v>
      </c>
      <c r="AF19" s="8" t="str">
        <f>IF(MONTH(DATE($B$2,8,1)-WEEKDAY(DATE($B$2,8,1),2)+1+7*4+3)&lt;&gt;8,"",DAY(DATE($B$2,8,1)-WEEKDAY(DATE($B$2,8,1),2)+1+7*4+3)&amp;IFERROR(CHAR(10)&amp;VLOOKUP(DATE($B$2,8,1)-WEEKDAY(DATE($B$2,8,1),2)+1+7*4+3,$AM$3:$AN$15,2,FALSE),""))</f>
        <v>27</v>
      </c>
      <c r="AG19" s="8" t="str">
        <f>IF(MONTH(DATE($B$2,8,1)-WEEKDAY(DATE($B$2,8,1),2)+1+7*4+4)&lt;&gt;8,"",DAY(DATE($B$2,8,1)-WEEKDAY(DATE($B$2,8,1),2)+1+7*4+4)&amp;IFERROR(CHAR(10)&amp;VLOOKUP(DATE($B$2,8,1)-WEEKDAY(DATE($B$2,8,1),2)+1+7*4+4,$AM$3:$AN$15,2,FALSE),""))</f>
        <v>28</v>
      </c>
      <c r="AH19" s="9" t="str">
        <f>IF(MONTH(DATE($B$2,8,1)-WEEKDAY(DATE($B$2,8,1),2)+1+7*4+5)&lt;&gt;8,"",DAY(DATE($B$2,8,1)-WEEKDAY(DATE($B$2,8,1),2)+1+7*4+5)&amp;IFERROR(CHAR(10)&amp;VLOOKUP(DATE($B$2,8,1)-WEEKDAY(DATE($B$2,8,1),2)+1+7*4+5,$AM$3:$AN$15,2,FALSE),""))</f>
        <v>29</v>
      </c>
      <c r="AI19" s="10" t="str">
        <f>IF(MONTH(DATE($B$2,8,1)-WEEKDAY(DATE($B$2,8,1),2)+1+7*4+6)&lt;&gt;8,"",DAY(DATE($B$2,8,1)-WEEKDAY(DATE($B$2,8,1),2)+1+7*4+6)&amp;IFERROR(CHAR(10)&amp;VLOOKUP(DATE($B$2,8,1)-WEEKDAY(DATE($B$2,8,1),2)+1+7*4+6,$AM$3:$AN$15,2,FALSE),""))</f>
        <v>30</v>
      </c>
    </row>
    <row r="20" spans="1:35" ht="29.1" customHeight="1" x14ac:dyDescent="0.25">
      <c r="A20" s="21" t="str">
        <f>IF(AND(MONTH(DATE($B$2,5,1)-WEEKDAY(DATE($B$2,5,1),2)+1+7*5)&lt;&gt;5,MONTH((DATE($B$2,5,1)-WEEKDAY(DATE($B$2,5,1),2)+1+7*5)+6)&lt;&gt;5),"",INT(((DATE($B$2,5,1)-WEEKDAY(DATE($B$2,5,1),2)+1+7*5)-(DATE(YEAR((DATE($B$2,5,1)-WEEKDAY(DATE($B$2,5,1),2)+1+7*5)-WEEKDAY((DATE($B$2,5,1)-WEEKDAY(DATE($B$2,5,1),2)+1+7*5),2)+4),1,4)-WEEKDAY(DATE(YEAR((DATE($B$2,5,1)-WEEKDAY(DATE($B$2,5,1),2)+1+7*5)-WEEKDAY((DATE($B$2,5,1)-WEEKDAY(DATE($B$2,5,1),2)+1+7*5),2)+4),1,4),2)+1))/7)+1)</f>
        <v/>
      </c>
      <c r="B20" s="11" t="str">
        <f>IF(MONTH(DATE($B$2,5,1)-WEEKDAY(DATE($B$2,5,1),2)+1+7*5+0)&lt;&gt;5,"",DAY(DATE($B$2,5,1)-WEEKDAY(DATE($B$2,5,1),2)+1+7*5+0)&amp;IFERROR(CHAR(10)&amp;VLOOKUP(DATE($B$2,5,1)-WEEKDAY(DATE($B$2,5,1),2)+1+7*5+0,$AM$3:$AN$15,2,FALSE),""))</f>
        <v/>
      </c>
      <c r="C20" s="11" t="str">
        <f>IF(MONTH(DATE($B$2,5,1)-WEEKDAY(DATE($B$2,5,1),2)+1+7*5+1)&lt;&gt;5,"",DAY(DATE($B$2,5,1)-WEEKDAY(DATE($B$2,5,1),2)+1+7*5+1)&amp;IFERROR(CHAR(10)&amp;VLOOKUP(DATE($B$2,5,1)-WEEKDAY(DATE($B$2,5,1),2)+1+7*5+1,$AM$3:$AN$15,2,FALSE),""))</f>
        <v/>
      </c>
      <c r="D20" s="11" t="str">
        <f>IF(MONTH(DATE($B$2,5,1)-WEEKDAY(DATE($B$2,5,1),2)+1+7*5+2)&lt;&gt;5,"",DAY(DATE($B$2,5,1)-WEEKDAY(DATE($B$2,5,1),2)+1+7*5+2)&amp;IFERROR(CHAR(10)&amp;VLOOKUP(DATE($B$2,5,1)-WEEKDAY(DATE($B$2,5,1),2)+1+7*5+2,$AM$3:$AN$15,2,FALSE),""))</f>
        <v/>
      </c>
      <c r="E20" s="11" t="str">
        <f>IF(MONTH(DATE($B$2,5,1)-WEEKDAY(DATE($B$2,5,1),2)+1+7*5+3)&lt;&gt;5,"",DAY(DATE($B$2,5,1)-WEEKDAY(DATE($B$2,5,1),2)+1+7*5+3)&amp;IFERROR(CHAR(10)&amp;VLOOKUP(DATE($B$2,5,1)-WEEKDAY(DATE($B$2,5,1),2)+1+7*5+3,$AM$3:$AN$15,2,FALSE),""))</f>
        <v/>
      </c>
      <c r="F20" s="11" t="str">
        <f>IF(MONTH(DATE($B$2,5,1)-WEEKDAY(DATE($B$2,5,1),2)+1+7*5+4)&lt;&gt;5,"",DAY(DATE($B$2,5,1)-WEEKDAY(DATE($B$2,5,1),2)+1+7*5+4)&amp;IFERROR(CHAR(10)&amp;VLOOKUP(DATE($B$2,5,1)-WEEKDAY(DATE($B$2,5,1),2)+1+7*5+4,$AM$3:$AN$15,2,FALSE),""))</f>
        <v/>
      </c>
      <c r="G20" s="12" t="str">
        <f>IF(MONTH(DATE($B$2,5,1)-WEEKDAY(DATE($B$2,5,1),2)+1+7*5+5)&lt;&gt;5,"",DAY(DATE($B$2,5,1)-WEEKDAY(DATE($B$2,5,1),2)+1+7*5+5)&amp;IFERROR(CHAR(10)&amp;VLOOKUP(DATE($B$2,5,1)-WEEKDAY(DATE($B$2,5,1),2)+1+7*5+5,$AM$3:$AN$15,2,FALSE),""))</f>
        <v/>
      </c>
      <c r="H20" s="13" t="str">
        <f>IF(MONTH(DATE($B$2,5,1)-WEEKDAY(DATE($B$2,5,1),2)+1+7*5+6)&lt;&gt;5,"",DAY(DATE($B$2,5,1)-WEEKDAY(DATE($B$2,5,1),2)+1+7*5+6)&amp;IFERROR(CHAR(10)&amp;VLOOKUP(DATE($B$2,5,1)-WEEKDAY(DATE($B$2,5,1),2)+1+7*5+6,$AM$3:$AN$15,2,FALSE),""))</f>
        <v/>
      </c>
      <c r="J20" s="21" t="str">
        <f>IF(AND(MONTH(DATE($B$2,6,1)-WEEKDAY(DATE($B$2,6,1),2)+1+7*5)&lt;&gt;6,MONTH((DATE($B$2,6,1)-WEEKDAY(DATE($B$2,6,1),2)+1+7*5)+6)&lt;&gt;6),"",INT(((DATE($B$2,6,1)-WEEKDAY(DATE($B$2,6,1),2)+1+7*5)-(DATE(YEAR((DATE($B$2,6,1)-WEEKDAY(DATE($B$2,6,1),2)+1+7*5)-WEEKDAY((DATE($B$2,6,1)-WEEKDAY(DATE($B$2,6,1),2)+1+7*5),2)+4),1,4)-WEEKDAY(DATE(YEAR((DATE($B$2,6,1)-WEEKDAY(DATE($B$2,6,1),2)+1+7*5)-WEEKDAY((DATE($B$2,6,1)-WEEKDAY(DATE($B$2,6,1),2)+1+7*5),2)+4),1,4),2)+1))/7)+1)</f>
        <v/>
      </c>
      <c r="K20" s="11" t="str">
        <f>IF(MONTH(DATE($B$2,6,1)-WEEKDAY(DATE($B$2,6,1),2)+1+7*5+0)&lt;&gt;6,"",DAY(DATE($B$2,6,1)-WEEKDAY(DATE($B$2,6,1),2)+1+7*5+0)&amp;IFERROR(CHAR(10)&amp;VLOOKUP(DATE($B$2,6,1)-WEEKDAY(DATE($B$2,6,1),2)+1+7*5+0,$AM$3:$AN$15,2,FALSE),""))</f>
        <v/>
      </c>
      <c r="L20" s="11" t="str">
        <f>IF(MONTH(DATE($B$2,6,1)-WEEKDAY(DATE($B$2,6,1),2)+1+7*5+1)&lt;&gt;6,"",DAY(DATE($B$2,6,1)-WEEKDAY(DATE($B$2,6,1),2)+1+7*5+1)&amp;IFERROR(CHAR(10)&amp;VLOOKUP(DATE($B$2,6,1)-WEEKDAY(DATE($B$2,6,1),2)+1+7*5+1,$AM$3:$AN$15,2,FALSE),""))</f>
        <v/>
      </c>
      <c r="M20" s="11" t="str">
        <f>IF(MONTH(DATE($B$2,6,1)-WEEKDAY(DATE($B$2,6,1),2)+1+7*5+2)&lt;&gt;6,"",DAY(DATE($B$2,6,1)-WEEKDAY(DATE($B$2,6,1),2)+1+7*5+2)&amp;IFERROR(CHAR(10)&amp;VLOOKUP(DATE($B$2,6,1)-WEEKDAY(DATE($B$2,6,1),2)+1+7*5+2,$AM$3:$AN$15,2,FALSE),""))</f>
        <v/>
      </c>
      <c r="N20" s="11" t="str">
        <f>IF(MONTH(DATE($B$2,6,1)-WEEKDAY(DATE($B$2,6,1),2)+1+7*5+3)&lt;&gt;6,"",DAY(DATE($B$2,6,1)-WEEKDAY(DATE($B$2,6,1),2)+1+7*5+3)&amp;IFERROR(CHAR(10)&amp;VLOOKUP(DATE($B$2,6,1)-WEEKDAY(DATE($B$2,6,1),2)+1+7*5+3,$AM$3:$AN$15,2,FALSE),""))</f>
        <v/>
      </c>
      <c r="O20" s="11" t="str">
        <f>IF(MONTH(DATE($B$2,6,1)-WEEKDAY(DATE($B$2,6,1),2)+1+7*5+4)&lt;&gt;6,"",DAY(DATE($B$2,6,1)-WEEKDAY(DATE($B$2,6,1),2)+1+7*5+4)&amp;IFERROR(CHAR(10)&amp;VLOOKUP(DATE($B$2,6,1)-WEEKDAY(DATE($B$2,6,1),2)+1+7*5+4,$AM$3:$AN$15,2,FALSE),""))</f>
        <v/>
      </c>
      <c r="P20" s="12" t="str">
        <f>IF(MONTH(DATE($B$2,6,1)-WEEKDAY(DATE($B$2,6,1),2)+1+7*5+5)&lt;&gt;6,"",DAY(DATE($B$2,6,1)-WEEKDAY(DATE($B$2,6,1),2)+1+7*5+5)&amp;IFERROR(CHAR(10)&amp;VLOOKUP(DATE($B$2,6,1)-WEEKDAY(DATE($B$2,6,1),2)+1+7*5+5,$AM$3:$AN$15,2,FALSE),""))</f>
        <v/>
      </c>
      <c r="Q20" s="13" t="str">
        <f>IF(MONTH(DATE($B$2,6,1)-WEEKDAY(DATE($B$2,6,1),2)+1+7*5+6)&lt;&gt;6,"",DAY(DATE($B$2,6,1)-WEEKDAY(DATE($B$2,6,1),2)+1+7*5+6)&amp;IFERROR(CHAR(10)&amp;VLOOKUP(DATE($B$2,6,1)-WEEKDAY(DATE($B$2,6,1),2)+1+7*5+6,$AM$3:$AN$15,2,FALSE),""))</f>
        <v/>
      </c>
      <c r="S20" s="21" t="str">
        <f>IF(AND(MONTH(DATE($B$2,7,1)-WEEKDAY(DATE($B$2,7,1),2)+1+7*5)&lt;&gt;7,MONTH((DATE($B$2,7,1)-WEEKDAY(DATE($B$2,7,1),2)+1+7*5)+6)&lt;&gt;7),"",INT(((DATE($B$2,7,1)-WEEKDAY(DATE($B$2,7,1),2)+1+7*5)-(DATE(YEAR((DATE($B$2,7,1)-WEEKDAY(DATE($B$2,7,1),2)+1+7*5)-WEEKDAY((DATE($B$2,7,1)-WEEKDAY(DATE($B$2,7,1),2)+1+7*5),2)+4),1,4)-WEEKDAY(DATE(YEAR((DATE($B$2,7,1)-WEEKDAY(DATE($B$2,7,1),2)+1+7*5)-WEEKDAY((DATE($B$2,7,1)-WEEKDAY(DATE($B$2,7,1),2)+1+7*5),2)+4),1,4),2)+1))/7)+1)</f>
        <v/>
      </c>
      <c r="T20" s="11" t="str">
        <f>IF(MONTH(DATE($B$2,7,1)-WEEKDAY(DATE($B$2,7,1),2)+1+7*5+0)&lt;&gt;7,"",DAY(DATE($B$2,7,1)-WEEKDAY(DATE($B$2,7,1),2)+1+7*5+0)&amp;IFERROR(CHAR(10)&amp;VLOOKUP(DATE($B$2,7,1)-WEEKDAY(DATE($B$2,7,1),2)+1+7*5+0,$AM$3:$AN$15,2,FALSE),""))</f>
        <v/>
      </c>
      <c r="U20" s="11" t="str">
        <f>IF(MONTH(DATE($B$2,7,1)-WEEKDAY(DATE($B$2,7,1),2)+1+7*5+1)&lt;&gt;7,"",DAY(DATE($B$2,7,1)-WEEKDAY(DATE($B$2,7,1),2)+1+7*5+1)&amp;IFERROR(CHAR(10)&amp;VLOOKUP(DATE($B$2,7,1)-WEEKDAY(DATE($B$2,7,1),2)+1+7*5+1,$AM$3:$AN$15,2,FALSE),""))</f>
        <v/>
      </c>
      <c r="V20" s="11" t="str">
        <f>IF(MONTH(DATE($B$2,7,1)-WEEKDAY(DATE($B$2,7,1),2)+1+7*5+2)&lt;&gt;7,"",DAY(DATE($B$2,7,1)-WEEKDAY(DATE($B$2,7,1),2)+1+7*5+2)&amp;IFERROR(CHAR(10)&amp;VLOOKUP(DATE($B$2,7,1)-WEEKDAY(DATE($B$2,7,1),2)+1+7*5+2,$AM$3:$AN$15,2,FALSE),""))</f>
        <v/>
      </c>
      <c r="W20" s="11" t="str">
        <f>IF(MONTH(DATE($B$2,7,1)-WEEKDAY(DATE($B$2,7,1),2)+1+7*5+3)&lt;&gt;7,"",DAY(DATE($B$2,7,1)-WEEKDAY(DATE($B$2,7,1),2)+1+7*5+3)&amp;IFERROR(CHAR(10)&amp;VLOOKUP(DATE($B$2,7,1)-WEEKDAY(DATE($B$2,7,1),2)+1+7*5+3,$AM$3:$AN$15,2,FALSE),""))</f>
        <v/>
      </c>
      <c r="X20" s="11" t="str">
        <f>IF(MONTH(DATE($B$2,7,1)-WEEKDAY(DATE($B$2,7,1),2)+1+7*5+4)&lt;&gt;7,"",DAY(DATE($B$2,7,1)-WEEKDAY(DATE($B$2,7,1),2)+1+7*5+4)&amp;IFERROR(CHAR(10)&amp;VLOOKUP(DATE($B$2,7,1)-WEEKDAY(DATE($B$2,7,1),2)+1+7*5+4,$AM$3:$AN$15,2,FALSE),""))</f>
        <v/>
      </c>
      <c r="Y20" s="12" t="str">
        <f>IF(MONTH(DATE($B$2,7,1)-WEEKDAY(DATE($B$2,7,1),2)+1+7*5+5)&lt;&gt;7,"",DAY(DATE($B$2,7,1)-WEEKDAY(DATE($B$2,7,1),2)+1+7*5+5)&amp;IFERROR(CHAR(10)&amp;VLOOKUP(DATE($B$2,7,1)-WEEKDAY(DATE($B$2,7,1),2)+1+7*5+5,$AM$3:$AN$15,2,FALSE),""))</f>
        <v/>
      </c>
      <c r="Z20" s="13" t="str">
        <f>IF(MONTH(DATE($B$2,7,1)-WEEKDAY(DATE($B$2,7,1),2)+1+7*5+6)&lt;&gt;7,"",DAY(DATE($B$2,7,1)-WEEKDAY(DATE($B$2,7,1),2)+1+7*5+6)&amp;IFERROR(CHAR(10)&amp;VLOOKUP(DATE($B$2,7,1)-WEEKDAY(DATE($B$2,7,1),2)+1+7*5+6,$AM$3:$AN$15,2,FALSE),""))</f>
        <v/>
      </c>
      <c r="AB20" s="21">
        <f>IF(AND(MONTH(DATE($B$2,8,1)-WEEKDAY(DATE($B$2,8,1),2)+1+7*5)&lt;&gt;8,MONTH((DATE($B$2,8,1)-WEEKDAY(DATE($B$2,8,1),2)+1+7*5)+6)&lt;&gt;8),"",INT(((DATE($B$2,8,1)-WEEKDAY(DATE($B$2,8,1),2)+1+7*5)-(DATE(YEAR((DATE($B$2,8,1)-WEEKDAY(DATE($B$2,8,1),2)+1+7*5)-WEEKDAY((DATE($B$2,8,1)-WEEKDAY(DATE($B$2,8,1),2)+1+7*5),2)+4),1,4)-WEEKDAY(DATE(YEAR((DATE($B$2,8,1)-WEEKDAY(DATE($B$2,8,1),2)+1+7*5)-WEEKDAY((DATE($B$2,8,1)-WEEKDAY(DATE($B$2,8,1),2)+1+7*5),2)+4),1,4),2)+1))/7)+1)</f>
        <v>36</v>
      </c>
      <c r="AC20" s="11" t="str">
        <f>IF(MONTH(DATE($B$2,8,1)-WEEKDAY(DATE($B$2,8,1),2)+1+7*5+0)&lt;&gt;8,"",DAY(DATE($B$2,8,1)-WEEKDAY(DATE($B$2,8,1),2)+1+7*5+0)&amp;IFERROR(CHAR(10)&amp;VLOOKUP(DATE($B$2,8,1)-WEEKDAY(DATE($B$2,8,1),2)+1+7*5+0,$AM$3:$AN$15,2,FALSE),""))</f>
        <v>31</v>
      </c>
      <c r="AD20" s="11" t="str">
        <f>IF(MONTH(DATE($B$2,8,1)-WEEKDAY(DATE($B$2,8,1),2)+1+7*5+1)&lt;&gt;8,"",DAY(DATE($B$2,8,1)-WEEKDAY(DATE($B$2,8,1),2)+1+7*5+1)&amp;IFERROR(CHAR(10)&amp;VLOOKUP(DATE($B$2,8,1)-WEEKDAY(DATE($B$2,8,1),2)+1+7*5+1,$AM$3:$AN$15,2,FALSE),""))</f>
        <v/>
      </c>
      <c r="AE20" s="11" t="str">
        <f>IF(MONTH(DATE($B$2,8,1)-WEEKDAY(DATE($B$2,8,1),2)+1+7*5+2)&lt;&gt;8,"",DAY(DATE($B$2,8,1)-WEEKDAY(DATE($B$2,8,1),2)+1+7*5+2)&amp;IFERROR(CHAR(10)&amp;VLOOKUP(DATE($B$2,8,1)-WEEKDAY(DATE($B$2,8,1),2)+1+7*5+2,$AM$3:$AN$15,2,FALSE),""))</f>
        <v/>
      </c>
      <c r="AF20" s="11" t="str">
        <f>IF(MONTH(DATE($B$2,8,1)-WEEKDAY(DATE($B$2,8,1),2)+1+7*5+3)&lt;&gt;8,"",DAY(DATE($B$2,8,1)-WEEKDAY(DATE($B$2,8,1),2)+1+7*5+3)&amp;IFERROR(CHAR(10)&amp;VLOOKUP(DATE($B$2,8,1)-WEEKDAY(DATE($B$2,8,1),2)+1+7*5+3,$AM$3:$AN$15,2,FALSE),""))</f>
        <v/>
      </c>
      <c r="AG20" s="11" t="str">
        <f>IF(MONTH(DATE($B$2,8,1)-WEEKDAY(DATE($B$2,8,1),2)+1+7*5+4)&lt;&gt;8,"",DAY(DATE($B$2,8,1)-WEEKDAY(DATE($B$2,8,1),2)+1+7*5+4)&amp;IFERROR(CHAR(10)&amp;VLOOKUP(DATE($B$2,8,1)-WEEKDAY(DATE($B$2,8,1),2)+1+7*5+4,$AM$3:$AN$15,2,FALSE),""))</f>
        <v/>
      </c>
      <c r="AH20" s="12" t="str">
        <f>IF(MONTH(DATE($B$2,8,1)-WEEKDAY(DATE($B$2,8,1),2)+1+7*5+5)&lt;&gt;8,"",DAY(DATE($B$2,8,1)-WEEKDAY(DATE($B$2,8,1),2)+1+7*5+5)&amp;IFERROR(CHAR(10)&amp;VLOOKUP(DATE($B$2,8,1)-WEEKDAY(DATE($B$2,8,1),2)+1+7*5+5,$AM$3:$AN$15,2,FALSE),""))</f>
        <v/>
      </c>
      <c r="AI20" s="13" t="str">
        <f>IF(MONTH(DATE($B$2,8,1)-WEEKDAY(DATE($B$2,8,1),2)+1+7*5+6)&lt;&gt;8,"",DAY(DATE($B$2,8,1)-WEEKDAY(DATE($B$2,8,1),2)+1+7*5+6)&amp;IFERROR(CHAR(10)&amp;VLOOKUP(DATE($B$2,8,1)-WEEKDAY(DATE($B$2,8,1),2)+1+7*5+6,$AM$3:$AN$15,2,FALSE),""))</f>
        <v/>
      </c>
    </row>
    <row r="21" spans="1:35" ht="8.1" customHeight="1" x14ac:dyDescent="0.25"/>
    <row r="22" spans="1:35" ht="20.100000000000001" customHeight="1" x14ac:dyDescent="0.25">
      <c r="A22" s="22" t="s">
        <v>33</v>
      </c>
      <c r="B22" s="23"/>
      <c r="C22" s="23"/>
      <c r="D22" s="23"/>
      <c r="E22" s="23"/>
      <c r="F22" s="23"/>
      <c r="G22" s="23"/>
      <c r="H22" s="24"/>
      <c r="J22" s="22" t="s">
        <v>34</v>
      </c>
      <c r="K22" s="23"/>
      <c r="L22" s="23"/>
      <c r="M22" s="23"/>
      <c r="N22" s="23"/>
      <c r="O22" s="23"/>
      <c r="P22" s="23"/>
      <c r="Q22" s="24"/>
      <c r="S22" s="22" t="s">
        <v>35</v>
      </c>
      <c r="T22" s="23"/>
      <c r="U22" s="23"/>
      <c r="V22" s="23"/>
      <c r="W22" s="23"/>
      <c r="X22" s="23"/>
      <c r="Y22" s="23"/>
      <c r="Z22" s="24"/>
      <c r="AB22" s="22" t="s">
        <v>36</v>
      </c>
      <c r="AC22" s="23"/>
      <c r="AD22" s="23"/>
      <c r="AE22" s="23"/>
      <c r="AF22" s="23"/>
      <c r="AG22" s="23"/>
      <c r="AH22" s="23"/>
      <c r="AI22" s="24"/>
    </row>
    <row r="23" spans="1:35" ht="18" customHeight="1" x14ac:dyDescent="0.25">
      <c r="A23" s="5" t="s">
        <v>11</v>
      </c>
      <c r="B23" s="2" t="s">
        <v>12</v>
      </c>
      <c r="C23" s="2" t="s">
        <v>13</v>
      </c>
      <c r="D23" s="2" t="s">
        <v>14</v>
      </c>
      <c r="E23" s="2" t="s">
        <v>15</v>
      </c>
      <c r="F23" s="2" t="s">
        <v>16</v>
      </c>
      <c r="G23" s="6" t="s">
        <v>17</v>
      </c>
      <c r="H23" s="7" t="s">
        <v>18</v>
      </c>
      <c r="J23" s="5" t="s">
        <v>11</v>
      </c>
      <c r="K23" s="2" t="s">
        <v>12</v>
      </c>
      <c r="L23" s="2" t="s">
        <v>13</v>
      </c>
      <c r="M23" s="2" t="s">
        <v>14</v>
      </c>
      <c r="N23" s="2" t="s">
        <v>15</v>
      </c>
      <c r="O23" s="2" t="s">
        <v>16</v>
      </c>
      <c r="P23" s="6" t="s">
        <v>17</v>
      </c>
      <c r="Q23" s="7" t="s">
        <v>18</v>
      </c>
      <c r="S23" s="5" t="s">
        <v>11</v>
      </c>
      <c r="T23" s="2" t="s">
        <v>12</v>
      </c>
      <c r="U23" s="2" t="s">
        <v>13</v>
      </c>
      <c r="V23" s="2" t="s">
        <v>14</v>
      </c>
      <c r="W23" s="2" t="s">
        <v>15</v>
      </c>
      <c r="X23" s="2" t="s">
        <v>16</v>
      </c>
      <c r="Y23" s="6" t="s">
        <v>17</v>
      </c>
      <c r="Z23" s="7" t="s">
        <v>18</v>
      </c>
      <c r="AB23" s="5" t="s">
        <v>11</v>
      </c>
      <c r="AC23" s="2" t="s">
        <v>12</v>
      </c>
      <c r="AD23" s="2" t="s">
        <v>13</v>
      </c>
      <c r="AE23" s="2" t="s">
        <v>14</v>
      </c>
      <c r="AF23" s="2" t="s">
        <v>15</v>
      </c>
      <c r="AG23" s="2" t="s">
        <v>16</v>
      </c>
      <c r="AH23" s="6" t="s">
        <v>17</v>
      </c>
      <c r="AI23" s="7" t="s">
        <v>18</v>
      </c>
    </row>
    <row r="24" spans="1:35" ht="29.1" customHeight="1" x14ac:dyDescent="0.25">
      <c r="A24" s="20">
        <f>IF(AND(MONTH(DATE($B$2,9,1)-WEEKDAY(DATE($B$2,9,1),2)+1+7*0)&lt;&gt;9,MONTH((DATE($B$2,9,1)-WEEKDAY(DATE($B$2,9,1),2)+1+7*0)+6)&lt;&gt;9),"",INT(((DATE($B$2,9,1)-WEEKDAY(DATE($B$2,9,1),2)+1+7*0)-(DATE(YEAR((DATE($B$2,9,1)-WEEKDAY(DATE($B$2,9,1),2)+1+7*0)-WEEKDAY((DATE($B$2,9,1)-WEEKDAY(DATE($B$2,9,1),2)+1+7*0),2)+4),1,4)-WEEKDAY(DATE(YEAR((DATE($B$2,9,1)-WEEKDAY(DATE($B$2,9,1),2)+1+7*0)-WEEKDAY((DATE($B$2,9,1)-WEEKDAY(DATE($B$2,9,1),2)+1+7*0),2)+4),1,4),2)+1))/7)+1)</f>
        <v>36</v>
      </c>
      <c r="B24" s="8" t="str">
        <f>IF(MONTH(DATE($B$2,9,1)-WEEKDAY(DATE($B$2,9,1),2)+1+7*0+0)&lt;&gt;9,"",DAY(DATE($B$2,9,1)-WEEKDAY(DATE($B$2,9,1),2)+1+7*0+0)&amp;IFERROR(CHAR(10)&amp;VLOOKUP(DATE($B$2,9,1)-WEEKDAY(DATE($B$2,9,1),2)+1+7*0+0,$AM$3:$AN$15,2,FALSE),""))</f>
        <v/>
      </c>
      <c r="C24" s="8" t="str">
        <f>IF(MONTH(DATE($B$2,9,1)-WEEKDAY(DATE($B$2,9,1),2)+1+7*0+1)&lt;&gt;9,"",DAY(DATE($B$2,9,1)-WEEKDAY(DATE($B$2,9,1),2)+1+7*0+1)&amp;IFERROR(CHAR(10)&amp;VLOOKUP(DATE($B$2,9,1)-WEEKDAY(DATE($B$2,9,1),2)+1+7*0+1,$AM$3:$AN$15,2,FALSE),""))</f>
        <v>1</v>
      </c>
      <c r="D24" s="8" t="str">
        <f>IF(MONTH(DATE($B$2,9,1)-WEEKDAY(DATE($B$2,9,1),2)+1+7*0+2)&lt;&gt;9,"",DAY(DATE($B$2,9,1)-WEEKDAY(DATE($B$2,9,1),2)+1+7*0+2)&amp;IFERROR(CHAR(10)&amp;VLOOKUP(DATE($B$2,9,1)-WEEKDAY(DATE($B$2,9,1),2)+1+7*0+2,$AM$3:$AN$15,2,FALSE),""))</f>
        <v>2</v>
      </c>
      <c r="E24" s="8" t="str">
        <f>IF(MONTH(DATE($B$2,9,1)-WEEKDAY(DATE($B$2,9,1),2)+1+7*0+3)&lt;&gt;9,"",DAY(DATE($B$2,9,1)-WEEKDAY(DATE($B$2,9,1),2)+1+7*0+3)&amp;IFERROR(CHAR(10)&amp;VLOOKUP(DATE($B$2,9,1)-WEEKDAY(DATE($B$2,9,1),2)+1+7*0+3,$AM$3:$AN$15,2,FALSE),""))</f>
        <v>3</v>
      </c>
      <c r="F24" s="8" t="str">
        <f>IF(MONTH(DATE($B$2,9,1)-WEEKDAY(DATE($B$2,9,1),2)+1+7*0+4)&lt;&gt;9,"",DAY(DATE($B$2,9,1)-WEEKDAY(DATE($B$2,9,1),2)+1+7*0+4)&amp;IFERROR(CHAR(10)&amp;VLOOKUP(DATE($B$2,9,1)-WEEKDAY(DATE($B$2,9,1),2)+1+7*0+4,$AM$3:$AN$15,2,FALSE),""))</f>
        <v>4</v>
      </c>
      <c r="G24" s="9" t="str">
        <f>IF(MONTH(DATE($B$2,9,1)-WEEKDAY(DATE($B$2,9,1),2)+1+7*0+5)&lt;&gt;9,"",DAY(DATE($B$2,9,1)-WEEKDAY(DATE($B$2,9,1),2)+1+7*0+5)&amp;IFERROR(CHAR(10)&amp;VLOOKUP(DATE($B$2,9,1)-WEEKDAY(DATE($B$2,9,1),2)+1+7*0+5,$AM$3:$AN$15,2,FALSE),""))</f>
        <v>5</v>
      </c>
      <c r="H24" s="10" t="str">
        <f>IF(MONTH(DATE($B$2,9,1)-WEEKDAY(DATE($B$2,9,1),2)+1+7*0+6)&lt;&gt;9,"",DAY(DATE($B$2,9,1)-WEEKDAY(DATE($B$2,9,1),2)+1+7*0+6)&amp;IFERROR(CHAR(10)&amp;VLOOKUP(DATE($B$2,9,1)-WEEKDAY(DATE($B$2,9,1),2)+1+7*0+6,$AM$3:$AN$15,2,FALSE),""))</f>
        <v>6</v>
      </c>
      <c r="J24" s="20">
        <f>IF(AND(MONTH(DATE($B$2,10,1)-WEEKDAY(DATE($B$2,10,1),2)+1+7*0)&lt;&gt;10,MONTH((DATE($B$2,10,1)-WEEKDAY(DATE($B$2,10,1),2)+1+7*0)+6)&lt;&gt;10),"",INT(((DATE($B$2,10,1)-WEEKDAY(DATE($B$2,10,1),2)+1+7*0)-(DATE(YEAR((DATE($B$2,10,1)-WEEKDAY(DATE($B$2,10,1),2)+1+7*0)-WEEKDAY((DATE($B$2,10,1)-WEEKDAY(DATE($B$2,10,1),2)+1+7*0),2)+4),1,4)-WEEKDAY(DATE(YEAR((DATE($B$2,10,1)-WEEKDAY(DATE($B$2,10,1),2)+1+7*0)-WEEKDAY((DATE($B$2,10,1)-WEEKDAY(DATE($B$2,10,1),2)+1+7*0),2)+4),1,4),2)+1))/7)+1)</f>
        <v>40</v>
      </c>
      <c r="K24" s="8" t="str">
        <f>IF(MONTH(DATE($B$2,10,1)-WEEKDAY(DATE($B$2,10,1),2)+1+7*0+0)&lt;&gt;10,"",DAY(DATE($B$2,10,1)-WEEKDAY(DATE($B$2,10,1),2)+1+7*0+0)&amp;IFERROR(CHAR(10)&amp;VLOOKUP(DATE($B$2,10,1)-WEEKDAY(DATE($B$2,10,1),2)+1+7*0+0,$AM$3:$AN$15,2,FALSE),""))</f>
        <v/>
      </c>
      <c r="L24" s="8" t="str">
        <f>IF(MONTH(DATE($B$2,10,1)-WEEKDAY(DATE($B$2,10,1),2)+1+7*0+1)&lt;&gt;10,"",DAY(DATE($B$2,10,1)-WEEKDAY(DATE($B$2,10,1),2)+1+7*0+1)&amp;IFERROR(CHAR(10)&amp;VLOOKUP(DATE($B$2,10,1)-WEEKDAY(DATE($B$2,10,1),2)+1+7*0+1,$AM$3:$AN$15,2,FALSE),""))</f>
        <v/>
      </c>
      <c r="M24" s="8" t="str">
        <f>IF(MONTH(DATE($B$2,10,1)-WEEKDAY(DATE($B$2,10,1),2)+1+7*0+2)&lt;&gt;10,"",DAY(DATE($B$2,10,1)-WEEKDAY(DATE($B$2,10,1),2)+1+7*0+2)&amp;IFERROR(CHAR(10)&amp;VLOOKUP(DATE($B$2,10,1)-WEEKDAY(DATE($B$2,10,1),2)+1+7*0+2,$AM$3:$AN$15,2,FALSE),""))</f>
        <v/>
      </c>
      <c r="N24" s="8" t="str">
        <f>IF(MONTH(DATE($B$2,10,1)-WEEKDAY(DATE($B$2,10,1),2)+1+7*0+3)&lt;&gt;10,"",DAY(DATE($B$2,10,1)-WEEKDAY(DATE($B$2,10,1),2)+1+7*0+3)&amp;IFERROR(CHAR(10)&amp;VLOOKUP(DATE($B$2,10,1)-WEEKDAY(DATE($B$2,10,1),2)+1+7*0+3,$AM$3:$AN$15,2,FALSE),""))</f>
        <v>1</v>
      </c>
      <c r="O24" s="8" t="str">
        <f>IF(MONTH(DATE($B$2,10,1)-WEEKDAY(DATE($B$2,10,1),2)+1+7*0+4)&lt;&gt;10,"",DAY(DATE($B$2,10,1)-WEEKDAY(DATE($B$2,10,1),2)+1+7*0+4)&amp;IFERROR(CHAR(10)&amp;VLOOKUP(DATE($B$2,10,1)-WEEKDAY(DATE($B$2,10,1),2)+1+7*0+4,$AM$3:$AN$15,2,FALSE),""))</f>
        <v>2</v>
      </c>
      <c r="P24" s="9" t="str">
        <f>IF(MONTH(DATE($B$2,10,1)-WEEKDAY(DATE($B$2,10,1),2)+1+7*0+5)&lt;&gt;10,"",DAY(DATE($B$2,10,1)-WEEKDAY(DATE($B$2,10,1),2)+1+7*0+5)&amp;IFERROR(CHAR(10)&amp;VLOOKUP(DATE($B$2,10,1)-WEEKDAY(DATE($B$2,10,1),2)+1+7*0+5,$AM$3:$AN$15,2,FALSE),""))</f>
        <v>3
Feiertag</v>
      </c>
      <c r="Q24" s="10" t="str">
        <f>IF(MONTH(DATE($B$2,10,1)-WEEKDAY(DATE($B$2,10,1),2)+1+7*0+6)&lt;&gt;10,"",DAY(DATE($B$2,10,1)-WEEKDAY(DATE($B$2,10,1),2)+1+7*0+6)&amp;IFERROR(CHAR(10)&amp;VLOOKUP(DATE($B$2,10,1)-WEEKDAY(DATE($B$2,10,1),2)+1+7*0+6,$AM$3:$AN$15,2,FALSE),""))</f>
        <v>4</v>
      </c>
      <c r="S24" s="20">
        <f>IF(AND(MONTH(DATE($B$2,11,1)-WEEKDAY(DATE($B$2,11,1),2)+1+7*0)&lt;&gt;11,MONTH((DATE($B$2,11,1)-WEEKDAY(DATE($B$2,11,1),2)+1+7*0)+6)&lt;&gt;11),"",INT(((DATE($B$2,11,1)-WEEKDAY(DATE($B$2,11,1),2)+1+7*0)-(DATE(YEAR((DATE($B$2,11,1)-WEEKDAY(DATE($B$2,11,1),2)+1+7*0)-WEEKDAY((DATE($B$2,11,1)-WEEKDAY(DATE($B$2,11,1),2)+1+7*0),2)+4),1,4)-WEEKDAY(DATE(YEAR((DATE($B$2,11,1)-WEEKDAY(DATE($B$2,11,1),2)+1+7*0)-WEEKDAY((DATE($B$2,11,1)-WEEKDAY(DATE($B$2,11,1),2)+1+7*0),2)+4),1,4),2)+1))/7)+1)</f>
        <v>44</v>
      </c>
      <c r="T24" s="8" t="str">
        <f>IF(MONTH(DATE($B$2,11,1)-WEEKDAY(DATE($B$2,11,1),2)+1+7*0+0)&lt;&gt;11,"",DAY(DATE($B$2,11,1)-WEEKDAY(DATE($B$2,11,1),2)+1+7*0+0)&amp;IFERROR(CHAR(10)&amp;VLOOKUP(DATE($B$2,11,1)-WEEKDAY(DATE($B$2,11,1),2)+1+7*0+0,$AM$3:$AN$15,2,FALSE),""))</f>
        <v/>
      </c>
      <c r="U24" s="8" t="str">
        <f>IF(MONTH(DATE($B$2,11,1)-WEEKDAY(DATE($B$2,11,1),2)+1+7*0+1)&lt;&gt;11,"",DAY(DATE($B$2,11,1)-WEEKDAY(DATE($B$2,11,1),2)+1+7*0+1)&amp;IFERROR(CHAR(10)&amp;VLOOKUP(DATE($B$2,11,1)-WEEKDAY(DATE($B$2,11,1),2)+1+7*0+1,$AM$3:$AN$15,2,FALSE),""))</f>
        <v/>
      </c>
      <c r="V24" s="8" t="str">
        <f>IF(MONTH(DATE($B$2,11,1)-WEEKDAY(DATE($B$2,11,1),2)+1+7*0+2)&lt;&gt;11,"",DAY(DATE($B$2,11,1)-WEEKDAY(DATE($B$2,11,1),2)+1+7*0+2)&amp;IFERROR(CHAR(10)&amp;VLOOKUP(DATE($B$2,11,1)-WEEKDAY(DATE($B$2,11,1),2)+1+7*0+2,$AM$3:$AN$15,2,FALSE),""))</f>
        <v/>
      </c>
      <c r="W24" s="8" t="str">
        <f>IF(MONTH(DATE($B$2,11,1)-WEEKDAY(DATE($B$2,11,1),2)+1+7*0+3)&lt;&gt;11,"",DAY(DATE($B$2,11,1)-WEEKDAY(DATE($B$2,11,1),2)+1+7*0+3)&amp;IFERROR(CHAR(10)&amp;VLOOKUP(DATE($B$2,11,1)-WEEKDAY(DATE($B$2,11,1),2)+1+7*0+3,$AM$3:$AN$15,2,FALSE),""))</f>
        <v/>
      </c>
      <c r="X24" s="8" t="str">
        <f>IF(MONTH(DATE($B$2,11,1)-WEEKDAY(DATE($B$2,11,1),2)+1+7*0+4)&lt;&gt;11,"",DAY(DATE($B$2,11,1)-WEEKDAY(DATE($B$2,11,1),2)+1+7*0+4)&amp;IFERROR(CHAR(10)&amp;VLOOKUP(DATE($B$2,11,1)-WEEKDAY(DATE($B$2,11,1),2)+1+7*0+4,$AM$3:$AN$15,2,FALSE),""))</f>
        <v/>
      </c>
      <c r="Y24" s="9" t="str">
        <f>IF(MONTH(DATE($B$2,11,1)-WEEKDAY(DATE($B$2,11,1),2)+1+7*0+5)&lt;&gt;11,"",DAY(DATE($B$2,11,1)-WEEKDAY(DATE($B$2,11,1),2)+1+7*0+5)&amp;IFERROR(CHAR(10)&amp;VLOOKUP(DATE($B$2,11,1)-WEEKDAY(DATE($B$2,11,1),2)+1+7*0+5,$AM$3:$AN$15,2,FALSE),""))</f>
        <v/>
      </c>
      <c r="Z24" s="10" t="str">
        <f>IF(MONTH(DATE($B$2,11,1)-WEEKDAY(DATE($B$2,11,1),2)+1+7*0+6)&lt;&gt;11,"",DAY(DATE($B$2,11,1)-WEEKDAY(DATE($B$2,11,1),2)+1+7*0+6)&amp;IFERROR(CHAR(10)&amp;VLOOKUP(DATE($B$2,11,1)-WEEKDAY(DATE($B$2,11,1),2)+1+7*0+6,$AM$3:$AN$15,2,FALSE),""))</f>
        <v>1</v>
      </c>
      <c r="AB24" s="20">
        <f>IF(AND(MONTH(DATE($B$2,12,1)-WEEKDAY(DATE($B$2,12,1),2)+1+7*0)&lt;&gt;12,MONTH((DATE($B$2,12,1)-WEEKDAY(DATE($B$2,12,1),2)+1+7*0)+6)&lt;&gt;12),"",INT(((DATE($B$2,12,1)-WEEKDAY(DATE($B$2,12,1),2)+1+7*0)-(DATE(YEAR((DATE($B$2,12,1)-WEEKDAY(DATE($B$2,12,1),2)+1+7*0)-WEEKDAY((DATE($B$2,12,1)-WEEKDAY(DATE($B$2,12,1),2)+1+7*0),2)+4),1,4)-WEEKDAY(DATE(YEAR((DATE($B$2,12,1)-WEEKDAY(DATE($B$2,12,1),2)+1+7*0)-WEEKDAY((DATE($B$2,12,1)-WEEKDAY(DATE($B$2,12,1),2)+1+7*0),2)+4),1,4),2)+1))/7)+1)</f>
        <v>49</v>
      </c>
      <c r="AC24" s="8" t="str">
        <f>IF(MONTH(DATE($B$2,12,1)-WEEKDAY(DATE($B$2,12,1),2)+1+7*0+0)&lt;&gt;12,"",DAY(DATE($B$2,12,1)-WEEKDAY(DATE($B$2,12,1),2)+1+7*0+0)&amp;IFERROR(CHAR(10)&amp;VLOOKUP(DATE($B$2,12,1)-WEEKDAY(DATE($B$2,12,1),2)+1+7*0+0,$AM$3:$AN$15,2,FALSE),""))</f>
        <v/>
      </c>
      <c r="AD24" s="8" t="str">
        <f>IF(MONTH(DATE($B$2,12,1)-WEEKDAY(DATE($B$2,12,1),2)+1+7*0+1)&lt;&gt;12,"",DAY(DATE($B$2,12,1)-WEEKDAY(DATE($B$2,12,1),2)+1+7*0+1)&amp;IFERROR(CHAR(10)&amp;VLOOKUP(DATE($B$2,12,1)-WEEKDAY(DATE($B$2,12,1),2)+1+7*0+1,$AM$3:$AN$15,2,FALSE),""))</f>
        <v>1</v>
      </c>
      <c r="AE24" s="8" t="str">
        <f>IF(MONTH(DATE($B$2,12,1)-WEEKDAY(DATE($B$2,12,1),2)+1+7*0+2)&lt;&gt;12,"",DAY(DATE($B$2,12,1)-WEEKDAY(DATE($B$2,12,1),2)+1+7*0+2)&amp;IFERROR(CHAR(10)&amp;VLOOKUP(DATE($B$2,12,1)-WEEKDAY(DATE($B$2,12,1),2)+1+7*0+2,$AM$3:$AN$15,2,FALSE),""))</f>
        <v>2</v>
      </c>
      <c r="AF24" s="8" t="str">
        <f>IF(MONTH(DATE($B$2,12,1)-WEEKDAY(DATE($B$2,12,1),2)+1+7*0+3)&lt;&gt;12,"",DAY(DATE($B$2,12,1)-WEEKDAY(DATE($B$2,12,1),2)+1+7*0+3)&amp;IFERROR(CHAR(10)&amp;VLOOKUP(DATE($B$2,12,1)-WEEKDAY(DATE($B$2,12,1),2)+1+7*0+3,$AM$3:$AN$15,2,FALSE),""))</f>
        <v>3</v>
      </c>
      <c r="AG24" s="8" t="str">
        <f>IF(MONTH(DATE($B$2,12,1)-WEEKDAY(DATE($B$2,12,1),2)+1+7*0+4)&lt;&gt;12,"",DAY(DATE($B$2,12,1)-WEEKDAY(DATE($B$2,12,1),2)+1+7*0+4)&amp;IFERROR(CHAR(10)&amp;VLOOKUP(DATE($B$2,12,1)-WEEKDAY(DATE($B$2,12,1),2)+1+7*0+4,$AM$3:$AN$15,2,FALSE),""))</f>
        <v>4</v>
      </c>
      <c r="AH24" s="9" t="str">
        <f>IF(MONTH(DATE($B$2,12,1)-WEEKDAY(DATE($B$2,12,1),2)+1+7*0+5)&lt;&gt;12,"",DAY(DATE($B$2,12,1)-WEEKDAY(DATE($B$2,12,1),2)+1+7*0+5)&amp;IFERROR(CHAR(10)&amp;VLOOKUP(DATE($B$2,12,1)-WEEKDAY(DATE($B$2,12,1),2)+1+7*0+5,$AM$3:$AN$15,2,FALSE),""))</f>
        <v>5</v>
      </c>
      <c r="AI24" s="10" t="str">
        <f>IF(MONTH(DATE($B$2,12,1)-WEEKDAY(DATE($B$2,12,1),2)+1+7*0+6)&lt;&gt;12,"",DAY(DATE($B$2,12,1)-WEEKDAY(DATE($B$2,12,1),2)+1+7*0+6)&amp;IFERROR(CHAR(10)&amp;VLOOKUP(DATE($B$2,12,1)-WEEKDAY(DATE($B$2,12,1),2)+1+7*0+6,$AM$3:$AN$15,2,FALSE),""))</f>
        <v>6</v>
      </c>
    </row>
    <row r="25" spans="1:35" ht="29.1" customHeight="1" x14ac:dyDescent="0.25">
      <c r="A25" s="20">
        <f>IF(AND(MONTH(DATE($B$2,9,1)-WEEKDAY(DATE($B$2,9,1),2)+1+7*1)&lt;&gt;9,MONTH((DATE($B$2,9,1)-WEEKDAY(DATE($B$2,9,1),2)+1+7*1)+6)&lt;&gt;9),"",INT(((DATE($B$2,9,1)-WEEKDAY(DATE($B$2,9,1),2)+1+7*1)-(DATE(YEAR((DATE($B$2,9,1)-WEEKDAY(DATE($B$2,9,1),2)+1+7*1)-WEEKDAY((DATE($B$2,9,1)-WEEKDAY(DATE($B$2,9,1),2)+1+7*1),2)+4),1,4)-WEEKDAY(DATE(YEAR((DATE($B$2,9,1)-WEEKDAY(DATE($B$2,9,1),2)+1+7*1)-WEEKDAY((DATE($B$2,9,1)-WEEKDAY(DATE($B$2,9,1),2)+1+7*1),2)+4),1,4),2)+1))/7)+1)</f>
        <v>37</v>
      </c>
      <c r="B25" s="8" t="str">
        <f>IF(MONTH(DATE($B$2,9,1)-WEEKDAY(DATE($B$2,9,1),2)+1+7*1+0)&lt;&gt;9,"",DAY(DATE($B$2,9,1)-WEEKDAY(DATE($B$2,9,1),2)+1+7*1+0)&amp;IFERROR(CHAR(10)&amp;VLOOKUP(DATE($B$2,9,1)-WEEKDAY(DATE($B$2,9,1),2)+1+7*1+0,$AM$3:$AN$15,2,FALSE),""))</f>
        <v>7</v>
      </c>
      <c r="C25" s="8" t="str">
        <f>IF(MONTH(DATE($B$2,9,1)-WEEKDAY(DATE($B$2,9,1),2)+1+7*1+1)&lt;&gt;9,"",DAY(DATE($B$2,9,1)-WEEKDAY(DATE($B$2,9,1),2)+1+7*1+1)&amp;IFERROR(CHAR(10)&amp;VLOOKUP(DATE($B$2,9,1)-WEEKDAY(DATE($B$2,9,1),2)+1+7*1+1,$AM$3:$AN$15,2,FALSE),""))</f>
        <v>8</v>
      </c>
      <c r="D25" s="8" t="str">
        <f>IF(MONTH(DATE($B$2,9,1)-WEEKDAY(DATE($B$2,9,1),2)+1+7*1+2)&lt;&gt;9,"",DAY(DATE($B$2,9,1)-WEEKDAY(DATE($B$2,9,1),2)+1+7*1+2)&amp;IFERROR(CHAR(10)&amp;VLOOKUP(DATE($B$2,9,1)-WEEKDAY(DATE($B$2,9,1),2)+1+7*1+2,$AM$3:$AN$15,2,FALSE),""))</f>
        <v>9
Messe</v>
      </c>
      <c r="E25" s="8" t="str">
        <f>IF(MONTH(DATE($B$2,9,1)-WEEKDAY(DATE($B$2,9,1),2)+1+7*1+3)&lt;&gt;9,"",DAY(DATE($B$2,9,1)-WEEKDAY(DATE($B$2,9,1),2)+1+7*1+3)&amp;IFERROR(CHAR(10)&amp;VLOOKUP(DATE($B$2,9,1)-WEEKDAY(DATE($B$2,9,1),2)+1+7*1+3,$AM$3:$AN$15,2,FALSE),""))</f>
        <v>10</v>
      </c>
      <c r="F25" s="8" t="str">
        <f>IF(MONTH(DATE($B$2,9,1)-WEEKDAY(DATE($B$2,9,1),2)+1+7*1+4)&lt;&gt;9,"",DAY(DATE($B$2,9,1)-WEEKDAY(DATE($B$2,9,1),2)+1+7*1+4)&amp;IFERROR(CHAR(10)&amp;VLOOKUP(DATE($B$2,9,1)-WEEKDAY(DATE($B$2,9,1),2)+1+7*1+4,$AM$3:$AN$15,2,FALSE),""))</f>
        <v>11</v>
      </c>
      <c r="G25" s="9" t="str">
        <f>IF(MONTH(DATE($B$2,9,1)-WEEKDAY(DATE($B$2,9,1),2)+1+7*1+5)&lt;&gt;9,"",DAY(DATE($B$2,9,1)-WEEKDAY(DATE($B$2,9,1),2)+1+7*1+5)&amp;IFERROR(CHAR(10)&amp;VLOOKUP(DATE($B$2,9,1)-WEEKDAY(DATE($B$2,9,1),2)+1+7*1+5,$AM$3:$AN$15,2,FALSE),""))</f>
        <v>12</v>
      </c>
      <c r="H25" s="10" t="str">
        <f>IF(MONTH(DATE($B$2,9,1)-WEEKDAY(DATE($B$2,9,1),2)+1+7*1+6)&lt;&gt;9,"",DAY(DATE($B$2,9,1)-WEEKDAY(DATE($B$2,9,1),2)+1+7*1+6)&amp;IFERROR(CHAR(10)&amp;VLOOKUP(DATE($B$2,9,1)-WEEKDAY(DATE($B$2,9,1),2)+1+7*1+6,$AM$3:$AN$15,2,FALSE),""))</f>
        <v>13</v>
      </c>
      <c r="J25" s="20">
        <f>IF(AND(MONTH(DATE($B$2,10,1)-WEEKDAY(DATE($B$2,10,1),2)+1+7*1)&lt;&gt;10,MONTH((DATE($B$2,10,1)-WEEKDAY(DATE($B$2,10,1),2)+1+7*1)+6)&lt;&gt;10),"",INT(((DATE($B$2,10,1)-WEEKDAY(DATE($B$2,10,1),2)+1+7*1)-(DATE(YEAR((DATE($B$2,10,1)-WEEKDAY(DATE($B$2,10,1),2)+1+7*1)-WEEKDAY((DATE($B$2,10,1)-WEEKDAY(DATE($B$2,10,1),2)+1+7*1),2)+4),1,4)-WEEKDAY(DATE(YEAR((DATE($B$2,10,1)-WEEKDAY(DATE($B$2,10,1),2)+1+7*1)-WEEKDAY((DATE($B$2,10,1)-WEEKDAY(DATE($B$2,10,1),2)+1+7*1),2)+4),1,4),2)+1))/7)+1)</f>
        <v>41</v>
      </c>
      <c r="K25" s="8" t="str">
        <f>IF(MONTH(DATE($B$2,10,1)-WEEKDAY(DATE($B$2,10,1),2)+1+7*1+0)&lt;&gt;10,"",DAY(DATE($B$2,10,1)-WEEKDAY(DATE($B$2,10,1),2)+1+7*1+0)&amp;IFERROR(CHAR(10)&amp;VLOOKUP(DATE($B$2,10,1)-WEEKDAY(DATE($B$2,10,1),2)+1+7*1+0,$AM$3:$AN$15,2,FALSE),""))</f>
        <v>5</v>
      </c>
      <c r="L25" s="8" t="str">
        <f>IF(MONTH(DATE($B$2,10,1)-WEEKDAY(DATE($B$2,10,1),2)+1+7*1+1)&lt;&gt;10,"",DAY(DATE($B$2,10,1)-WEEKDAY(DATE($B$2,10,1),2)+1+7*1+1)&amp;IFERROR(CHAR(10)&amp;VLOOKUP(DATE($B$2,10,1)-WEEKDAY(DATE($B$2,10,1),2)+1+7*1+1,$AM$3:$AN$15,2,FALSE),""))</f>
        <v>6</v>
      </c>
      <c r="M25" s="8" t="str">
        <f>IF(MONTH(DATE($B$2,10,1)-WEEKDAY(DATE($B$2,10,1),2)+1+7*1+2)&lt;&gt;10,"",DAY(DATE($B$2,10,1)-WEEKDAY(DATE($B$2,10,1),2)+1+7*1+2)&amp;IFERROR(CHAR(10)&amp;VLOOKUP(DATE($B$2,10,1)-WEEKDAY(DATE($B$2,10,1),2)+1+7*1+2,$AM$3:$AN$15,2,FALSE),""))</f>
        <v>7</v>
      </c>
      <c r="N25" s="8" t="str">
        <f>IF(MONTH(DATE($B$2,10,1)-WEEKDAY(DATE($B$2,10,1),2)+1+7*1+3)&lt;&gt;10,"",DAY(DATE($B$2,10,1)-WEEKDAY(DATE($B$2,10,1),2)+1+7*1+3)&amp;IFERROR(CHAR(10)&amp;VLOOKUP(DATE($B$2,10,1)-WEEKDAY(DATE($B$2,10,1),2)+1+7*1+3,$AM$3:$AN$15,2,FALSE),""))</f>
        <v>8</v>
      </c>
      <c r="O25" s="8" t="str">
        <f>IF(MONTH(DATE($B$2,10,1)-WEEKDAY(DATE($B$2,10,1),2)+1+7*1+4)&lt;&gt;10,"",DAY(DATE($B$2,10,1)-WEEKDAY(DATE($B$2,10,1),2)+1+7*1+4)&amp;IFERROR(CHAR(10)&amp;VLOOKUP(DATE($B$2,10,1)-WEEKDAY(DATE($B$2,10,1),2)+1+7*1+4,$AM$3:$AN$15,2,FALSE),""))</f>
        <v>9</v>
      </c>
      <c r="P25" s="9" t="str">
        <f>IF(MONTH(DATE($B$2,10,1)-WEEKDAY(DATE($B$2,10,1),2)+1+7*1+5)&lt;&gt;10,"",DAY(DATE($B$2,10,1)-WEEKDAY(DATE($B$2,10,1),2)+1+7*1+5)&amp;IFERROR(CHAR(10)&amp;VLOOKUP(DATE($B$2,10,1)-WEEKDAY(DATE($B$2,10,1),2)+1+7*1+5,$AM$3:$AN$15,2,FALSE),""))</f>
        <v>10</v>
      </c>
      <c r="Q25" s="10" t="str">
        <f>IF(MONTH(DATE($B$2,10,1)-WEEKDAY(DATE($B$2,10,1),2)+1+7*1+6)&lt;&gt;10,"",DAY(DATE($B$2,10,1)-WEEKDAY(DATE($B$2,10,1),2)+1+7*1+6)&amp;IFERROR(CHAR(10)&amp;VLOOKUP(DATE($B$2,10,1)-WEEKDAY(DATE($B$2,10,1),2)+1+7*1+6,$AM$3:$AN$15,2,FALSE),""))</f>
        <v>11</v>
      </c>
      <c r="S25" s="20">
        <f>IF(AND(MONTH(DATE($B$2,11,1)-WEEKDAY(DATE($B$2,11,1),2)+1+7*1)&lt;&gt;11,MONTH((DATE($B$2,11,1)-WEEKDAY(DATE($B$2,11,1),2)+1+7*1)+6)&lt;&gt;11),"",INT(((DATE($B$2,11,1)-WEEKDAY(DATE($B$2,11,1),2)+1+7*1)-(DATE(YEAR((DATE($B$2,11,1)-WEEKDAY(DATE($B$2,11,1),2)+1+7*1)-WEEKDAY((DATE($B$2,11,1)-WEEKDAY(DATE($B$2,11,1),2)+1+7*1),2)+4),1,4)-WEEKDAY(DATE(YEAR((DATE($B$2,11,1)-WEEKDAY(DATE($B$2,11,1),2)+1+7*1)-WEEKDAY((DATE($B$2,11,1)-WEEKDAY(DATE($B$2,11,1),2)+1+7*1),2)+4),1,4),2)+1))/7)+1)</f>
        <v>45</v>
      </c>
      <c r="T25" s="8" t="str">
        <f>IF(MONTH(DATE($B$2,11,1)-WEEKDAY(DATE($B$2,11,1),2)+1+7*1+0)&lt;&gt;11,"",DAY(DATE($B$2,11,1)-WEEKDAY(DATE($B$2,11,1),2)+1+7*1+0)&amp;IFERROR(CHAR(10)&amp;VLOOKUP(DATE($B$2,11,1)-WEEKDAY(DATE($B$2,11,1),2)+1+7*1+0,$AM$3:$AN$15,2,FALSE),""))</f>
        <v>2</v>
      </c>
      <c r="U25" s="8" t="str">
        <f>IF(MONTH(DATE($B$2,11,1)-WEEKDAY(DATE($B$2,11,1),2)+1+7*1+1)&lt;&gt;11,"",DAY(DATE($B$2,11,1)-WEEKDAY(DATE($B$2,11,1),2)+1+7*1+1)&amp;IFERROR(CHAR(10)&amp;VLOOKUP(DATE($B$2,11,1)-WEEKDAY(DATE($B$2,11,1),2)+1+7*1+1,$AM$3:$AN$15,2,FALSE),""))</f>
        <v>3</v>
      </c>
      <c r="V25" s="8" t="str">
        <f>IF(MONTH(DATE($B$2,11,1)-WEEKDAY(DATE($B$2,11,1),2)+1+7*1+2)&lt;&gt;11,"",DAY(DATE($B$2,11,1)-WEEKDAY(DATE($B$2,11,1),2)+1+7*1+2)&amp;IFERROR(CHAR(10)&amp;VLOOKUP(DATE($B$2,11,1)-WEEKDAY(DATE($B$2,11,1),2)+1+7*1+2,$AM$3:$AN$15,2,FALSE),""))</f>
        <v>4</v>
      </c>
      <c r="W25" s="8" t="str">
        <f>IF(MONTH(DATE($B$2,11,1)-WEEKDAY(DATE($B$2,11,1),2)+1+7*1+3)&lt;&gt;11,"",DAY(DATE($B$2,11,1)-WEEKDAY(DATE($B$2,11,1),2)+1+7*1+3)&amp;IFERROR(CHAR(10)&amp;VLOOKUP(DATE($B$2,11,1)-WEEKDAY(DATE($B$2,11,1),2)+1+7*1+3,$AM$3:$AN$15,2,FALSE),""))</f>
        <v>5</v>
      </c>
      <c r="X25" s="8" t="str">
        <f>IF(MONTH(DATE($B$2,11,1)-WEEKDAY(DATE($B$2,11,1),2)+1+7*1+4)&lt;&gt;11,"",DAY(DATE($B$2,11,1)-WEEKDAY(DATE($B$2,11,1),2)+1+7*1+4)&amp;IFERROR(CHAR(10)&amp;VLOOKUP(DATE($B$2,11,1)-WEEKDAY(DATE($B$2,11,1),2)+1+7*1+4,$AM$3:$AN$15,2,FALSE),""))</f>
        <v>6</v>
      </c>
      <c r="Y25" s="9" t="str">
        <f>IF(MONTH(DATE($B$2,11,1)-WEEKDAY(DATE($B$2,11,1),2)+1+7*1+5)&lt;&gt;11,"",DAY(DATE($B$2,11,1)-WEEKDAY(DATE($B$2,11,1),2)+1+7*1+5)&amp;IFERROR(CHAR(10)&amp;VLOOKUP(DATE($B$2,11,1)-WEEKDAY(DATE($B$2,11,1),2)+1+7*1+5,$AM$3:$AN$15,2,FALSE),""))</f>
        <v>7</v>
      </c>
      <c r="Z25" s="10" t="str">
        <f>IF(MONTH(DATE($B$2,11,1)-WEEKDAY(DATE($B$2,11,1),2)+1+7*1+6)&lt;&gt;11,"",DAY(DATE($B$2,11,1)-WEEKDAY(DATE($B$2,11,1),2)+1+7*1+6)&amp;IFERROR(CHAR(10)&amp;VLOOKUP(DATE($B$2,11,1)-WEEKDAY(DATE($B$2,11,1),2)+1+7*1+6,$AM$3:$AN$15,2,FALSE),""))</f>
        <v>8</v>
      </c>
      <c r="AB25" s="20">
        <f>IF(AND(MONTH(DATE($B$2,12,1)-WEEKDAY(DATE($B$2,12,1),2)+1+7*1)&lt;&gt;12,MONTH((DATE($B$2,12,1)-WEEKDAY(DATE($B$2,12,1),2)+1+7*1)+6)&lt;&gt;12),"",INT(((DATE($B$2,12,1)-WEEKDAY(DATE($B$2,12,1),2)+1+7*1)-(DATE(YEAR((DATE($B$2,12,1)-WEEKDAY(DATE($B$2,12,1),2)+1+7*1)-WEEKDAY((DATE($B$2,12,1)-WEEKDAY(DATE($B$2,12,1),2)+1+7*1),2)+4),1,4)-WEEKDAY(DATE(YEAR((DATE($B$2,12,1)-WEEKDAY(DATE($B$2,12,1),2)+1+7*1)-WEEKDAY((DATE($B$2,12,1)-WEEKDAY(DATE($B$2,12,1),2)+1+7*1),2)+4),1,4),2)+1))/7)+1)</f>
        <v>50</v>
      </c>
      <c r="AC25" s="8" t="str">
        <f>IF(MONTH(DATE($B$2,12,1)-WEEKDAY(DATE($B$2,12,1),2)+1+7*1+0)&lt;&gt;12,"",DAY(DATE($B$2,12,1)-WEEKDAY(DATE($B$2,12,1),2)+1+7*1+0)&amp;IFERROR(CHAR(10)&amp;VLOOKUP(DATE($B$2,12,1)-WEEKDAY(DATE($B$2,12,1),2)+1+7*1+0,$AM$3:$AN$15,2,FALSE),""))</f>
        <v>7</v>
      </c>
      <c r="AD25" s="8" t="str">
        <f>IF(MONTH(DATE($B$2,12,1)-WEEKDAY(DATE($B$2,12,1),2)+1+7*1+1)&lt;&gt;12,"",DAY(DATE($B$2,12,1)-WEEKDAY(DATE($B$2,12,1),2)+1+7*1+1)&amp;IFERROR(CHAR(10)&amp;VLOOKUP(DATE($B$2,12,1)-WEEKDAY(DATE($B$2,12,1),2)+1+7*1+1,$AM$3:$AN$15,2,FALSE),""))</f>
        <v>8</v>
      </c>
      <c r="AE25" s="8" t="str">
        <f>IF(MONTH(DATE($B$2,12,1)-WEEKDAY(DATE($B$2,12,1),2)+1+7*1+2)&lt;&gt;12,"",DAY(DATE($B$2,12,1)-WEEKDAY(DATE($B$2,12,1),2)+1+7*1+2)&amp;IFERROR(CHAR(10)&amp;VLOOKUP(DATE($B$2,12,1)-WEEKDAY(DATE($B$2,12,1),2)+1+7*1+2,$AM$3:$AN$15,2,FALSE),""))</f>
        <v>9</v>
      </c>
      <c r="AF25" s="8" t="str">
        <f>IF(MONTH(DATE($B$2,12,1)-WEEKDAY(DATE($B$2,12,1),2)+1+7*1+3)&lt;&gt;12,"",DAY(DATE($B$2,12,1)-WEEKDAY(DATE($B$2,12,1),2)+1+7*1+3)&amp;IFERROR(CHAR(10)&amp;VLOOKUP(DATE($B$2,12,1)-WEEKDAY(DATE($B$2,12,1),2)+1+7*1+3,$AM$3:$AN$15,2,FALSE),""))</f>
        <v>10</v>
      </c>
      <c r="AG25" s="8" t="str">
        <f>IF(MONTH(DATE($B$2,12,1)-WEEKDAY(DATE($B$2,12,1),2)+1+7*1+4)&lt;&gt;12,"",DAY(DATE($B$2,12,1)-WEEKDAY(DATE($B$2,12,1),2)+1+7*1+4)&amp;IFERROR(CHAR(10)&amp;VLOOKUP(DATE($B$2,12,1)-WEEKDAY(DATE($B$2,12,1),2)+1+7*1+4,$AM$3:$AN$15,2,FALSE),""))</f>
        <v>11</v>
      </c>
      <c r="AH25" s="9" t="str">
        <f>IF(MONTH(DATE($B$2,12,1)-WEEKDAY(DATE($B$2,12,1),2)+1+7*1+5)&lt;&gt;12,"",DAY(DATE($B$2,12,1)-WEEKDAY(DATE($B$2,12,1),2)+1+7*1+5)&amp;IFERROR(CHAR(10)&amp;VLOOKUP(DATE($B$2,12,1)-WEEKDAY(DATE($B$2,12,1),2)+1+7*1+5,$AM$3:$AN$15,2,FALSE),""))</f>
        <v>12</v>
      </c>
      <c r="AI25" s="10" t="str">
        <f>IF(MONTH(DATE($B$2,12,1)-WEEKDAY(DATE($B$2,12,1),2)+1+7*1+6)&lt;&gt;12,"",DAY(DATE($B$2,12,1)-WEEKDAY(DATE($B$2,12,1),2)+1+7*1+6)&amp;IFERROR(CHAR(10)&amp;VLOOKUP(DATE($B$2,12,1)-WEEKDAY(DATE($B$2,12,1),2)+1+7*1+6,$AM$3:$AN$15,2,FALSE),""))</f>
        <v>13</v>
      </c>
    </row>
    <row r="26" spans="1:35" ht="29.1" customHeight="1" x14ac:dyDescent="0.25">
      <c r="A26" s="20">
        <f>IF(AND(MONTH(DATE($B$2,9,1)-WEEKDAY(DATE($B$2,9,1),2)+1+7*2)&lt;&gt;9,MONTH((DATE($B$2,9,1)-WEEKDAY(DATE($B$2,9,1),2)+1+7*2)+6)&lt;&gt;9),"",INT(((DATE($B$2,9,1)-WEEKDAY(DATE($B$2,9,1),2)+1+7*2)-(DATE(YEAR((DATE($B$2,9,1)-WEEKDAY(DATE($B$2,9,1),2)+1+7*2)-WEEKDAY((DATE($B$2,9,1)-WEEKDAY(DATE($B$2,9,1),2)+1+7*2),2)+4),1,4)-WEEKDAY(DATE(YEAR((DATE($B$2,9,1)-WEEKDAY(DATE($B$2,9,1),2)+1+7*2)-WEEKDAY((DATE($B$2,9,1)-WEEKDAY(DATE($B$2,9,1),2)+1+7*2),2)+4),1,4),2)+1))/7)+1)</f>
        <v>38</v>
      </c>
      <c r="B26" s="8" t="str">
        <f>IF(MONTH(DATE($B$2,9,1)-WEEKDAY(DATE($B$2,9,1),2)+1+7*2+0)&lt;&gt;9,"",DAY(DATE($B$2,9,1)-WEEKDAY(DATE($B$2,9,1),2)+1+7*2+0)&amp;IFERROR(CHAR(10)&amp;VLOOKUP(DATE($B$2,9,1)-WEEKDAY(DATE($B$2,9,1),2)+1+7*2+0,$AM$3:$AN$15,2,FALSE),""))</f>
        <v>14</v>
      </c>
      <c r="C26" s="8" t="str">
        <f>IF(MONTH(DATE($B$2,9,1)-WEEKDAY(DATE($B$2,9,1),2)+1+7*2+1)&lt;&gt;9,"",DAY(DATE($B$2,9,1)-WEEKDAY(DATE($B$2,9,1),2)+1+7*2+1)&amp;IFERROR(CHAR(10)&amp;VLOOKUP(DATE($B$2,9,1)-WEEKDAY(DATE($B$2,9,1),2)+1+7*2+1,$AM$3:$AN$15,2,FALSE),""))</f>
        <v>15</v>
      </c>
      <c r="D26" s="8" t="str">
        <f>IF(MONTH(DATE($B$2,9,1)-WEEKDAY(DATE($B$2,9,1),2)+1+7*2+2)&lt;&gt;9,"",DAY(DATE($B$2,9,1)-WEEKDAY(DATE($B$2,9,1),2)+1+7*2+2)&amp;IFERROR(CHAR(10)&amp;VLOOKUP(DATE($B$2,9,1)-WEEKDAY(DATE($B$2,9,1),2)+1+7*2+2,$AM$3:$AN$15,2,FALSE),""))</f>
        <v>16</v>
      </c>
      <c r="E26" s="8" t="str">
        <f>IF(MONTH(DATE($B$2,9,1)-WEEKDAY(DATE($B$2,9,1),2)+1+7*2+3)&lt;&gt;9,"",DAY(DATE($B$2,9,1)-WEEKDAY(DATE($B$2,9,1),2)+1+7*2+3)&amp;IFERROR(CHAR(10)&amp;VLOOKUP(DATE($B$2,9,1)-WEEKDAY(DATE($B$2,9,1),2)+1+7*2+3,$AM$3:$AN$15,2,FALSE),""))</f>
        <v>17</v>
      </c>
      <c r="F26" s="8" t="str">
        <f>IF(MONTH(DATE($B$2,9,1)-WEEKDAY(DATE($B$2,9,1),2)+1+7*2+4)&lt;&gt;9,"",DAY(DATE($B$2,9,1)-WEEKDAY(DATE($B$2,9,1),2)+1+7*2+4)&amp;IFERROR(CHAR(10)&amp;VLOOKUP(DATE($B$2,9,1)-WEEKDAY(DATE($B$2,9,1),2)+1+7*2+4,$AM$3:$AN$15,2,FALSE),""))</f>
        <v>18</v>
      </c>
      <c r="G26" s="9" t="str">
        <f>IF(MONTH(DATE($B$2,9,1)-WEEKDAY(DATE($B$2,9,1),2)+1+7*2+5)&lt;&gt;9,"",DAY(DATE($B$2,9,1)-WEEKDAY(DATE($B$2,9,1),2)+1+7*2+5)&amp;IFERROR(CHAR(10)&amp;VLOOKUP(DATE($B$2,9,1)-WEEKDAY(DATE($B$2,9,1),2)+1+7*2+5,$AM$3:$AN$15,2,FALSE),""))</f>
        <v>19</v>
      </c>
      <c r="H26" s="10" t="str">
        <f>IF(MONTH(DATE($B$2,9,1)-WEEKDAY(DATE($B$2,9,1),2)+1+7*2+6)&lt;&gt;9,"",DAY(DATE($B$2,9,1)-WEEKDAY(DATE($B$2,9,1),2)+1+7*2+6)&amp;IFERROR(CHAR(10)&amp;VLOOKUP(DATE($B$2,9,1)-WEEKDAY(DATE($B$2,9,1),2)+1+7*2+6,$AM$3:$AN$15,2,FALSE),""))</f>
        <v>20</v>
      </c>
      <c r="J26" s="20">
        <f>IF(AND(MONTH(DATE($B$2,10,1)-WEEKDAY(DATE($B$2,10,1),2)+1+7*2)&lt;&gt;10,MONTH((DATE($B$2,10,1)-WEEKDAY(DATE($B$2,10,1),2)+1+7*2)+6)&lt;&gt;10),"",INT(((DATE($B$2,10,1)-WEEKDAY(DATE($B$2,10,1),2)+1+7*2)-(DATE(YEAR((DATE($B$2,10,1)-WEEKDAY(DATE($B$2,10,1),2)+1+7*2)-WEEKDAY((DATE($B$2,10,1)-WEEKDAY(DATE($B$2,10,1),2)+1+7*2),2)+4),1,4)-WEEKDAY(DATE(YEAR((DATE($B$2,10,1)-WEEKDAY(DATE($B$2,10,1),2)+1+7*2)-WEEKDAY((DATE($B$2,10,1)-WEEKDAY(DATE($B$2,10,1),2)+1+7*2),2)+4),1,4),2)+1))/7)+1)</f>
        <v>42</v>
      </c>
      <c r="K26" s="8" t="str">
        <f>IF(MONTH(DATE($B$2,10,1)-WEEKDAY(DATE($B$2,10,1),2)+1+7*2+0)&lt;&gt;10,"",DAY(DATE($B$2,10,1)-WEEKDAY(DATE($B$2,10,1),2)+1+7*2+0)&amp;IFERROR(CHAR(10)&amp;VLOOKUP(DATE($B$2,10,1)-WEEKDAY(DATE($B$2,10,1),2)+1+7*2+0,$AM$3:$AN$15,2,FALSE),""))</f>
        <v>12</v>
      </c>
      <c r="L26" s="8" t="str">
        <f>IF(MONTH(DATE($B$2,10,1)-WEEKDAY(DATE($B$2,10,1),2)+1+7*2+1)&lt;&gt;10,"",DAY(DATE($B$2,10,1)-WEEKDAY(DATE($B$2,10,1),2)+1+7*2+1)&amp;IFERROR(CHAR(10)&amp;VLOOKUP(DATE($B$2,10,1)-WEEKDAY(DATE($B$2,10,1),2)+1+7*2+1,$AM$3:$AN$15,2,FALSE),""))</f>
        <v>13</v>
      </c>
      <c r="M26" s="8" t="str">
        <f>IF(MONTH(DATE($B$2,10,1)-WEEKDAY(DATE($B$2,10,1),2)+1+7*2+2)&lt;&gt;10,"",DAY(DATE($B$2,10,1)-WEEKDAY(DATE($B$2,10,1),2)+1+7*2+2)&amp;IFERROR(CHAR(10)&amp;VLOOKUP(DATE($B$2,10,1)-WEEKDAY(DATE($B$2,10,1),2)+1+7*2+2,$AM$3:$AN$15,2,FALSE),""))</f>
        <v>14</v>
      </c>
      <c r="N26" s="8" t="str">
        <f>IF(MONTH(DATE($B$2,10,1)-WEEKDAY(DATE($B$2,10,1),2)+1+7*2+3)&lt;&gt;10,"",DAY(DATE($B$2,10,1)-WEEKDAY(DATE($B$2,10,1),2)+1+7*2+3)&amp;IFERROR(CHAR(10)&amp;VLOOKUP(DATE($B$2,10,1)-WEEKDAY(DATE($B$2,10,1),2)+1+7*2+3,$AM$3:$AN$15,2,FALSE),""))</f>
        <v>15</v>
      </c>
      <c r="O26" s="8" t="str">
        <f>IF(MONTH(DATE($B$2,10,1)-WEEKDAY(DATE($B$2,10,1),2)+1+7*2+4)&lt;&gt;10,"",DAY(DATE($B$2,10,1)-WEEKDAY(DATE($B$2,10,1),2)+1+7*2+4)&amp;IFERROR(CHAR(10)&amp;VLOOKUP(DATE($B$2,10,1)-WEEKDAY(DATE($B$2,10,1),2)+1+7*2+4,$AM$3:$AN$15,2,FALSE),""))</f>
        <v>16</v>
      </c>
      <c r="P26" s="9" t="str">
        <f>IF(MONTH(DATE($B$2,10,1)-WEEKDAY(DATE($B$2,10,1),2)+1+7*2+5)&lt;&gt;10,"",DAY(DATE($B$2,10,1)-WEEKDAY(DATE($B$2,10,1),2)+1+7*2+5)&amp;IFERROR(CHAR(10)&amp;VLOOKUP(DATE($B$2,10,1)-WEEKDAY(DATE($B$2,10,1),2)+1+7*2+5,$AM$3:$AN$15,2,FALSE),""))</f>
        <v>17</v>
      </c>
      <c r="Q26" s="10" t="str">
        <f>IF(MONTH(DATE($B$2,10,1)-WEEKDAY(DATE($B$2,10,1),2)+1+7*2+6)&lt;&gt;10,"",DAY(DATE($B$2,10,1)-WEEKDAY(DATE($B$2,10,1),2)+1+7*2+6)&amp;IFERROR(CHAR(10)&amp;VLOOKUP(DATE($B$2,10,1)-WEEKDAY(DATE($B$2,10,1),2)+1+7*2+6,$AM$3:$AN$15,2,FALSE),""))</f>
        <v>18</v>
      </c>
      <c r="S26" s="20">
        <f>IF(AND(MONTH(DATE($B$2,11,1)-WEEKDAY(DATE($B$2,11,1),2)+1+7*2)&lt;&gt;11,MONTH((DATE($B$2,11,1)-WEEKDAY(DATE($B$2,11,1),2)+1+7*2)+6)&lt;&gt;11),"",INT(((DATE($B$2,11,1)-WEEKDAY(DATE($B$2,11,1),2)+1+7*2)-(DATE(YEAR((DATE($B$2,11,1)-WEEKDAY(DATE($B$2,11,1),2)+1+7*2)-WEEKDAY((DATE($B$2,11,1)-WEEKDAY(DATE($B$2,11,1),2)+1+7*2),2)+4),1,4)-WEEKDAY(DATE(YEAR((DATE($B$2,11,1)-WEEKDAY(DATE($B$2,11,1),2)+1+7*2)-WEEKDAY((DATE($B$2,11,1)-WEEKDAY(DATE($B$2,11,1),2)+1+7*2),2)+4),1,4),2)+1))/7)+1)</f>
        <v>46</v>
      </c>
      <c r="T26" s="8" t="str">
        <f>IF(MONTH(DATE($B$2,11,1)-WEEKDAY(DATE($B$2,11,1),2)+1+7*2+0)&lt;&gt;11,"",DAY(DATE($B$2,11,1)-WEEKDAY(DATE($B$2,11,1),2)+1+7*2+0)&amp;IFERROR(CHAR(10)&amp;VLOOKUP(DATE($B$2,11,1)-WEEKDAY(DATE($B$2,11,1),2)+1+7*2+0,$AM$3:$AN$15,2,FALSE),""))</f>
        <v>9</v>
      </c>
      <c r="U26" s="8" t="str">
        <f>IF(MONTH(DATE($B$2,11,1)-WEEKDAY(DATE($B$2,11,1),2)+1+7*2+1)&lt;&gt;11,"",DAY(DATE($B$2,11,1)-WEEKDAY(DATE($B$2,11,1),2)+1+7*2+1)&amp;IFERROR(CHAR(10)&amp;VLOOKUP(DATE($B$2,11,1)-WEEKDAY(DATE($B$2,11,1),2)+1+7*2+1,$AM$3:$AN$15,2,FALSE),""))</f>
        <v>10</v>
      </c>
      <c r="V26" s="8" t="str">
        <f>IF(MONTH(DATE($B$2,11,1)-WEEKDAY(DATE($B$2,11,1),2)+1+7*2+2)&lt;&gt;11,"",DAY(DATE($B$2,11,1)-WEEKDAY(DATE($B$2,11,1),2)+1+7*2+2)&amp;IFERROR(CHAR(10)&amp;VLOOKUP(DATE($B$2,11,1)-WEEKDAY(DATE($B$2,11,1),2)+1+7*2+2,$AM$3:$AN$15,2,FALSE),""))</f>
        <v>11</v>
      </c>
      <c r="W26" s="8" t="str">
        <f>IF(MONTH(DATE($B$2,11,1)-WEEKDAY(DATE($B$2,11,1),2)+1+7*2+3)&lt;&gt;11,"",DAY(DATE($B$2,11,1)-WEEKDAY(DATE($B$2,11,1),2)+1+7*2+3)&amp;IFERROR(CHAR(10)&amp;VLOOKUP(DATE($B$2,11,1)-WEEKDAY(DATE($B$2,11,1),2)+1+7*2+3,$AM$3:$AN$15,2,FALSE),""))</f>
        <v>12</v>
      </c>
      <c r="X26" s="8" t="str">
        <f>IF(MONTH(DATE($B$2,11,1)-WEEKDAY(DATE($B$2,11,1),2)+1+7*2+4)&lt;&gt;11,"",DAY(DATE($B$2,11,1)-WEEKDAY(DATE($B$2,11,1),2)+1+7*2+4)&amp;IFERROR(CHAR(10)&amp;VLOOKUP(DATE($B$2,11,1)-WEEKDAY(DATE($B$2,11,1),2)+1+7*2+4,$AM$3:$AN$15,2,FALSE),""))</f>
        <v>13</v>
      </c>
      <c r="Y26" s="9" t="str">
        <f>IF(MONTH(DATE($B$2,11,1)-WEEKDAY(DATE($B$2,11,1),2)+1+7*2+5)&lt;&gt;11,"",DAY(DATE($B$2,11,1)-WEEKDAY(DATE($B$2,11,1),2)+1+7*2+5)&amp;IFERROR(CHAR(10)&amp;VLOOKUP(DATE($B$2,11,1)-WEEKDAY(DATE($B$2,11,1),2)+1+7*2+5,$AM$3:$AN$15,2,FALSE),""))</f>
        <v>14</v>
      </c>
      <c r="Z26" s="10" t="str">
        <f>IF(MONTH(DATE($B$2,11,1)-WEEKDAY(DATE($B$2,11,1),2)+1+7*2+6)&lt;&gt;11,"",DAY(DATE($B$2,11,1)-WEEKDAY(DATE($B$2,11,1),2)+1+7*2+6)&amp;IFERROR(CHAR(10)&amp;VLOOKUP(DATE($B$2,11,1)-WEEKDAY(DATE($B$2,11,1),2)+1+7*2+6,$AM$3:$AN$15,2,FALSE),""))</f>
        <v>15</v>
      </c>
      <c r="AB26" s="20">
        <f>IF(AND(MONTH(DATE($B$2,12,1)-WEEKDAY(DATE($B$2,12,1),2)+1+7*2)&lt;&gt;12,MONTH((DATE($B$2,12,1)-WEEKDAY(DATE($B$2,12,1),2)+1+7*2)+6)&lt;&gt;12),"",INT(((DATE($B$2,12,1)-WEEKDAY(DATE($B$2,12,1),2)+1+7*2)-(DATE(YEAR((DATE($B$2,12,1)-WEEKDAY(DATE($B$2,12,1),2)+1+7*2)-WEEKDAY((DATE($B$2,12,1)-WEEKDAY(DATE($B$2,12,1),2)+1+7*2),2)+4),1,4)-WEEKDAY(DATE(YEAR((DATE($B$2,12,1)-WEEKDAY(DATE($B$2,12,1),2)+1+7*2)-WEEKDAY((DATE($B$2,12,1)-WEEKDAY(DATE($B$2,12,1),2)+1+7*2),2)+4),1,4),2)+1))/7)+1)</f>
        <v>51</v>
      </c>
      <c r="AC26" s="8" t="str">
        <f>IF(MONTH(DATE($B$2,12,1)-WEEKDAY(DATE($B$2,12,1),2)+1+7*2+0)&lt;&gt;12,"",DAY(DATE($B$2,12,1)-WEEKDAY(DATE($B$2,12,1),2)+1+7*2+0)&amp;IFERROR(CHAR(10)&amp;VLOOKUP(DATE($B$2,12,1)-WEEKDAY(DATE($B$2,12,1),2)+1+7*2+0,$AM$3:$AN$15,2,FALSE),""))</f>
        <v>14</v>
      </c>
      <c r="AD26" s="8" t="str">
        <f>IF(MONTH(DATE($B$2,12,1)-WEEKDAY(DATE($B$2,12,1),2)+1+7*2+1)&lt;&gt;12,"",DAY(DATE($B$2,12,1)-WEEKDAY(DATE($B$2,12,1),2)+1+7*2+1)&amp;IFERROR(CHAR(10)&amp;VLOOKUP(DATE($B$2,12,1)-WEEKDAY(DATE($B$2,12,1),2)+1+7*2+1,$AM$3:$AN$15,2,FALSE),""))</f>
        <v>15</v>
      </c>
      <c r="AE26" s="8" t="str">
        <f>IF(MONTH(DATE($B$2,12,1)-WEEKDAY(DATE($B$2,12,1),2)+1+7*2+2)&lt;&gt;12,"",DAY(DATE($B$2,12,1)-WEEKDAY(DATE($B$2,12,1),2)+1+7*2+2)&amp;IFERROR(CHAR(10)&amp;VLOOKUP(DATE($B$2,12,1)-WEEKDAY(DATE($B$2,12,1),2)+1+7*2+2,$AM$3:$AN$15,2,FALSE),""))</f>
        <v>16</v>
      </c>
      <c r="AF26" s="8" t="str">
        <f>IF(MONTH(DATE($B$2,12,1)-WEEKDAY(DATE($B$2,12,1),2)+1+7*2+3)&lt;&gt;12,"",DAY(DATE($B$2,12,1)-WEEKDAY(DATE($B$2,12,1),2)+1+7*2+3)&amp;IFERROR(CHAR(10)&amp;VLOOKUP(DATE($B$2,12,1)-WEEKDAY(DATE($B$2,12,1),2)+1+7*2+3,$AM$3:$AN$15,2,FALSE),""))</f>
        <v>17</v>
      </c>
      <c r="AG26" s="8" t="str">
        <f>IF(MONTH(DATE($B$2,12,1)-WEEKDAY(DATE($B$2,12,1),2)+1+7*2+4)&lt;&gt;12,"",DAY(DATE($B$2,12,1)-WEEKDAY(DATE($B$2,12,1),2)+1+7*2+4)&amp;IFERROR(CHAR(10)&amp;VLOOKUP(DATE($B$2,12,1)-WEEKDAY(DATE($B$2,12,1),2)+1+7*2+4,$AM$3:$AN$15,2,FALSE),""))</f>
        <v>18</v>
      </c>
      <c r="AH26" s="9" t="str">
        <f>IF(MONTH(DATE($B$2,12,1)-WEEKDAY(DATE($B$2,12,1),2)+1+7*2+5)&lt;&gt;12,"",DAY(DATE($B$2,12,1)-WEEKDAY(DATE($B$2,12,1),2)+1+7*2+5)&amp;IFERROR(CHAR(10)&amp;VLOOKUP(DATE($B$2,12,1)-WEEKDAY(DATE($B$2,12,1),2)+1+7*2+5,$AM$3:$AN$15,2,FALSE),""))</f>
        <v>19</v>
      </c>
      <c r="AI26" s="10" t="str">
        <f>IF(MONTH(DATE($B$2,12,1)-WEEKDAY(DATE($B$2,12,1),2)+1+7*2+6)&lt;&gt;12,"",DAY(DATE($B$2,12,1)-WEEKDAY(DATE($B$2,12,1),2)+1+7*2+6)&amp;IFERROR(CHAR(10)&amp;VLOOKUP(DATE($B$2,12,1)-WEEKDAY(DATE($B$2,12,1),2)+1+7*2+6,$AM$3:$AN$15,2,FALSE),""))</f>
        <v>20</v>
      </c>
    </row>
    <row r="27" spans="1:35" ht="29.1" customHeight="1" x14ac:dyDescent="0.25">
      <c r="A27" s="20">
        <f>IF(AND(MONTH(DATE($B$2,9,1)-WEEKDAY(DATE($B$2,9,1),2)+1+7*3)&lt;&gt;9,MONTH((DATE($B$2,9,1)-WEEKDAY(DATE($B$2,9,1),2)+1+7*3)+6)&lt;&gt;9),"",INT(((DATE($B$2,9,1)-WEEKDAY(DATE($B$2,9,1),2)+1+7*3)-(DATE(YEAR((DATE($B$2,9,1)-WEEKDAY(DATE($B$2,9,1),2)+1+7*3)-WEEKDAY((DATE($B$2,9,1)-WEEKDAY(DATE($B$2,9,1),2)+1+7*3),2)+4),1,4)-WEEKDAY(DATE(YEAR((DATE($B$2,9,1)-WEEKDAY(DATE($B$2,9,1),2)+1+7*3)-WEEKDAY((DATE($B$2,9,1)-WEEKDAY(DATE($B$2,9,1),2)+1+7*3),2)+4),1,4),2)+1))/7)+1)</f>
        <v>39</v>
      </c>
      <c r="B27" s="8" t="str">
        <f>IF(MONTH(DATE($B$2,9,1)-WEEKDAY(DATE($B$2,9,1),2)+1+7*3+0)&lt;&gt;9,"",DAY(DATE($B$2,9,1)-WEEKDAY(DATE($B$2,9,1),2)+1+7*3+0)&amp;IFERROR(CHAR(10)&amp;VLOOKUP(DATE($B$2,9,1)-WEEKDAY(DATE($B$2,9,1),2)+1+7*3+0,$AM$3:$AN$15,2,FALSE),""))</f>
        <v>21</v>
      </c>
      <c r="C27" s="8" t="str">
        <f>IF(MONTH(DATE($B$2,9,1)-WEEKDAY(DATE($B$2,9,1),2)+1+7*3+1)&lt;&gt;9,"",DAY(DATE($B$2,9,1)-WEEKDAY(DATE($B$2,9,1),2)+1+7*3+1)&amp;IFERROR(CHAR(10)&amp;VLOOKUP(DATE($B$2,9,1)-WEEKDAY(DATE($B$2,9,1),2)+1+7*3+1,$AM$3:$AN$15,2,FALSE),""))</f>
        <v>22</v>
      </c>
      <c r="D27" s="8" t="str">
        <f>IF(MONTH(DATE($B$2,9,1)-WEEKDAY(DATE($B$2,9,1),2)+1+7*3+2)&lt;&gt;9,"",DAY(DATE($B$2,9,1)-WEEKDAY(DATE($B$2,9,1),2)+1+7*3+2)&amp;IFERROR(CHAR(10)&amp;VLOOKUP(DATE($B$2,9,1)-WEEKDAY(DATE($B$2,9,1),2)+1+7*3+2,$AM$3:$AN$15,2,FALSE),""))</f>
        <v>23</v>
      </c>
      <c r="E27" s="8" t="str">
        <f>IF(MONTH(DATE($B$2,9,1)-WEEKDAY(DATE($B$2,9,1),2)+1+7*3+3)&lt;&gt;9,"",DAY(DATE($B$2,9,1)-WEEKDAY(DATE($B$2,9,1),2)+1+7*3+3)&amp;IFERROR(CHAR(10)&amp;VLOOKUP(DATE($B$2,9,1)-WEEKDAY(DATE($B$2,9,1),2)+1+7*3+3,$AM$3:$AN$15,2,FALSE),""))</f>
        <v>24</v>
      </c>
      <c r="F27" s="8" t="str">
        <f>IF(MONTH(DATE($B$2,9,1)-WEEKDAY(DATE($B$2,9,1),2)+1+7*3+4)&lt;&gt;9,"",DAY(DATE($B$2,9,1)-WEEKDAY(DATE($B$2,9,1),2)+1+7*3+4)&amp;IFERROR(CHAR(10)&amp;VLOOKUP(DATE($B$2,9,1)-WEEKDAY(DATE($B$2,9,1),2)+1+7*3+4,$AM$3:$AN$15,2,FALSE),""))</f>
        <v>25</v>
      </c>
      <c r="G27" s="9" t="str">
        <f>IF(MONTH(DATE($B$2,9,1)-WEEKDAY(DATE($B$2,9,1),2)+1+7*3+5)&lt;&gt;9,"",DAY(DATE($B$2,9,1)-WEEKDAY(DATE($B$2,9,1),2)+1+7*3+5)&amp;IFERROR(CHAR(10)&amp;VLOOKUP(DATE($B$2,9,1)-WEEKDAY(DATE($B$2,9,1),2)+1+7*3+5,$AM$3:$AN$15,2,FALSE),""))</f>
        <v>26</v>
      </c>
      <c r="H27" s="10" t="str">
        <f>IF(MONTH(DATE($B$2,9,1)-WEEKDAY(DATE($B$2,9,1),2)+1+7*3+6)&lt;&gt;9,"",DAY(DATE($B$2,9,1)-WEEKDAY(DATE($B$2,9,1),2)+1+7*3+6)&amp;IFERROR(CHAR(10)&amp;VLOOKUP(DATE($B$2,9,1)-WEEKDAY(DATE($B$2,9,1),2)+1+7*3+6,$AM$3:$AN$15,2,FALSE),""))</f>
        <v>27</v>
      </c>
      <c r="J27" s="20">
        <f>IF(AND(MONTH(DATE($B$2,10,1)-WEEKDAY(DATE($B$2,10,1),2)+1+7*3)&lt;&gt;10,MONTH((DATE($B$2,10,1)-WEEKDAY(DATE($B$2,10,1),2)+1+7*3)+6)&lt;&gt;10),"",INT(((DATE($B$2,10,1)-WEEKDAY(DATE($B$2,10,1),2)+1+7*3)-(DATE(YEAR((DATE($B$2,10,1)-WEEKDAY(DATE($B$2,10,1),2)+1+7*3)-WEEKDAY((DATE($B$2,10,1)-WEEKDAY(DATE($B$2,10,1),2)+1+7*3),2)+4),1,4)-WEEKDAY(DATE(YEAR((DATE($B$2,10,1)-WEEKDAY(DATE($B$2,10,1),2)+1+7*3)-WEEKDAY((DATE($B$2,10,1)-WEEKDAY(DATE($B$2,10,1),2)+1+7*3),2)+4),1,4),2)+1))/7)+1)</f>
        <v>43</v>
      </c>
      <c r="K27" s="8" t="str">
        <f>IF(MONTH(DATE($B$2,10,1)-WEEKDAY(DATE($B$2,10,1),2)+1+7*3+0)&lt;&gt;10,"",DAY(DATE($B$2,10,1)-WEEKDAY(DATE($B$2,10,1),2)+1+7*3+0)&amp;IFERROR(CHAR(10)&amp;VLOOKUP(DATE($B$2,10,1)-WEEKDAY(DATE($B$2,10,1),2)+1+7*3+0,$AM$3:$AN$15,2,FALSE),""))</f>
        <v>19</v>
      </c>
      <c r="L27" s="8" t="str">
        <f>IF(MONTH(DATE($B$2,10,1)-WEEKDAY(DATE($B$2,10,1),2)+1+7*3+1)&lt;&gt;10,"",DAY(DATE($B$2,10,1)-WEEKDAY(DATE($B$2,10,1),2)+1+7*3+1)&amp;IFERROR(CHAR(10)&amp;VLOOKUP(DATE($B$2,10,1)-WEEKDAY(DATE($B$2,10,1),2)+1+7*3+1,$AM$3:$AN$15,2,FALSE),""))</f>
        <v>20</v>
      </c>
      <c r="M27" s="8" t="str">
        <f>IF(MONTH(DATE($B$2,10,1)-WEEKDAY(DATE($B$2,10,1),2)+1+7*3+2)&lt;&gt;10,"",DAY(DATE($B$2,10,1)-WEEKDAY(DATE($B$2,10,1),2)+1+7*3+2)&amp;IFERROR(CHAR(10)&amp;VLOOKUP(DATE($B$2,10,1)-WEEKDAY(DATE($B$2,10,1),2)+1+7*3+2,$AM$3:$AN$15,2,FALSE),""))</f>
        <v>21</v>
      </c>
      <c r="N27" s="8" t="str">
        <f>IF(MONTH(DATE($B$2,10,1)-WEEKDAY(DATE($B$2,10,1),2)+1+7*3+3)&lt;&gt;10,"",DAY(DATE($B$2,10,1)-WEEKDAY(DATE($B$2,10,1),2)+1+7*3+3)&amp;IFERROR(CHAR(10)&amp;VLOOKUP(DATE($B$2,10,1)-WEEKDAY(DATE($B$2,10,1),2)+1+7*3+3,$AM$3:$AN$15,2,FALSE),""))</f>
        <v>22</v>
      </c>
      <c r="O27" s="8" t="str">
        <f>IF(MONTH(DATE($B$2,10,1)-WEEKDAY(DATE($B$2,10,1),2)+1+7*3+4)&lt;&gt;10,"",DAY(DATE($B$2,10,1)-WEEKDAY(DATE($B$2,10,1),2)+1+7*3+4)&amp;IFERROR(CHAR(10)&amp;VLOOKUP(DATE($B$2,10,1)-WEEKDAY(DATE($B$2,10,1),2)+1+7*3+4,$AM$3:$AN$15,2,FALSE),""))</f>
        <v>23</v>
      </c>
      <c r="P27" s="9" t="str">
        <f>IF(MONTH(DATE($B$2,10,1)-WEEKDAY(DATE($B$2,10,1),2)+1+7*3+5)&lt;&gt;10,"",DAY(DATE($B$2,10,1)-WEEKDAY(DATE($B$2,10,1),2)+1+7*3+5)&amp;IFERROR(CHAR(10)&amp;VLOOKUP(DATE($B$2,10,1)-WEEKDAY(DATE($B$2,10,1),2)+1+7*3+5,$AM$3:$AN$15,2,FALSE),""))</f>
        <v>24</v>
      </c>
      <c r="Q27" s="10" t="str">
        <f>IF(MONTH(DATE($B$2,10,1)-WEEKDAY(DATE($B$2,10,1),2)+1+7*3+6)&lt;&gt;10,"",DAY(DATE($B$2,10,1)-WEEKDAY(DATE($B$2,10,1),2)+1+7*3+6)&amp;IFERROR(CHAR(10)&amp;VLOOKUP(DATE($B$2,10,1)-WEEKDAY(DATE($B$2,10,1),2)+1+7*3+6,$AM$3:$AN$15,2,FALSE),""))</f>
        <v>25</v>
      </c>
      <c r="S27" s="20">
        <f>IF(AND(MONTH(DATE($B$2,11,1)-WEEKDAY(DATE($B$2,11,1),2)+1+7*3)&lt;&gt;11,MONTH((DATE($B$2,11,1)-WEEKDAY(DATE($B$2,11,1),2)+1+7*3)+6)&lt;&gt;11),"",INT(((DATE($B$2,11,1)-WEEKDAY(DATE($B$2,11,1),2)+1+7*3)-(DATE(YEAR((DATE($B$2,11,1)-WEEKDAY(DATE($B$2,11,1),2)+1+7*3)-WEEKDAY((DATE($B$2,11,1)-WEEKDAY(DATE($B$2,11,1),2)+1+7*3),2)+4),1,4)-WEEKDAY(DATE(YEAR((DATE($B$2,11,1)-WEEKDAY(DATE($B$2,11,1),2)+1+7*3)-WEEKDAY((DATE($B$2,11,1)-WEEKDAY(DATE($B$2,11,1),2)+1+7*3),2)+4),1,4),2)+1))/7)+1)</f>
        <v>47</v>
      </c>
      <c r="T27" s="8" t="str">
        <f>IF(MONTH(DATE($B$2,11,1)-WEEKDAY(DATE($B$2,11,1),2)+1+7*3+0)&lt;&gt;11,"",DAY(DATE($B$2,11,1)-WEEKDAY(DATE($B$2,11,1),2)+1+7*3+0)&amp;IFERROR(CHAR(10)&amp;VLOOKUP(DATE($B$2,11,1)-WEEKDAY(DATE($B$2,11,1),2)+1+7*3+0,$AM$3:$AN$15,2,FALSE),""))</f>
        <v>16</v>
      </c>
      <c r="U27" s="8" t="str">
        <f>IF(MONTH(DATE($B$2,11,1)-WEEKDAY(DATE($B$2,11,1),2)+1+7*3+1)&lt;&gt;11,"",DAY(DATE($B$2,11,1)-WEEKDAY(DATE($B$2,11,1),2)+1+7*3+1)&amp;IFERROR(CHAR(10)&amp;VLOOKUP(DATE($B$2,11,1)-WEEKDAY(DATE($B$2,11,1),2)+1+7*3+1,$AM$3:$AN$15,2,FALSE),""))</f>
        <v>17</v>
      </c>
      <c r="V27" s="8" t="str">
        <f>IF(MONTH(DATE($B$2,11,1)-WEEKDAY(DATE($B$2,11,1),2)+1+7*3+2)&lt;&gt;11,"",DAY(DATE($B$2,11,1)-WEEKDAY(DATE($B$2,11,1),2)+1+7*3+2)&amp;IFERROR(CHAR(10)&amp;VLOOKUP(DATE($B$2,11,1)-WEEKDAY(DATE($B$2,11,1),2)+1+7*3+2,$AM$3:$AN$15,2,FALSE),""))</f>
        <v>18</v>
      </c>
      <c r="W27" s="8" t="str">
        <f>IF(MONTH(DATE($B$2,11,1)-WEEKDAY(DATE($B$2,11,1),2)+1+7*3+3)&lt;&gt;11,"",DAY(DATE($B$2,11,1)-WEEKDAY(DATE($B$2,11,1),2)+1+7*3+3)&amp;IFERROR(CHAR(10)&amp;VLOOKUP(DATE($B$2,11,1)-WEEKDAY(DATE($B$2,11,1),2)+1+7*3+3,$AM$3:$AN$15,2,FALSE),""))</f>
        <v>19</v>
      </c>
      <c r="X27" s="8" t="str">
        <f>IF(MONTH(DATE($B$2,11,1)-WEEKDAY(DATE($B$2,11,1),2)+1+7*3+4)&lt;&gt;11,"",DAY(DATE($B$2,11,1)-WEEKDAY(DATE($B$2,11,1),2)+1+7*3+4)&amp;IFERROR(CHAR(10)&amp;VLOOKUP(DATE($B$2,11,1)-WEEKDAY(DATE($B$2,11,1),2)+1+7*3+4,$AM$3:$AN$15,2,FALSE),""))</f>
        <v>20
Budget</v>
      </c>
      <c r="Y27" s="9" t="str">
        <f>IF(MONTH(DATE($B$2,11,1)-WEEKDAY(DATE($B$2,11,1),2)+1+7*3+5)&lt;&gt;11,"",DAY(DATE($B$2,11,1)-WEEKDAY(DATE($B$2,11,1),2)+1+7*3+5)&amp;IFERROR(CHAR(10)&amp;VLOOKUP(DATE($B$2,11,1)-WEEKDAY(DATE($B$2,11,1),2)+1+7*3+5,$AM$3:$AN$15,2,FALSE),""))</f>
        <v>21</v>
      </c>
      <c r="Z27" s="10" t="str">
        <f>IF(MONTH(DATE($B$2,11,1)-WEEKDAY(DATE($B$2,11,1),2)+1+7*3+6)&lt;&gt;11,"",DAY(DATE($B$2,11,1)-WEEKDAY(DATE($B$2,11,1),2)+1+7*3+6)&amp;IFERROR(CHAR(10)&amp;VLOOKUP(DATE($B$2,11,1)-WEEKDAY(DATE($B$2,11,1),2)+1+7*3+6,$AM$3:$AN$15,2,FALSE),""))</f>
        <v>22</v>
      </c>
      <c r="AB27" s="20">
        <f>IF(AND(MONTH(DATE($B$2,12,1)-WEEKDAY(DATE($B$2,12,1),2)+1+7*3)&lt;&gt;12,MONTH((DATE($B$2,12,1)-WEEKDAY(DATE($B$2,12,1),2)+1+7*3)+6)&lt;&gt;12),"",INT(((DATE($B$2,12,1)-WEEKDAY(DATE($B$2,12,1),2)+1+7*3)-(DATE(YEAR((DATE($B$2,12,1)-WEEKDAY(DATE($B$2,12,1),2)+1+7*3)-WEEKDAY((DATE($B$2,12,1)-WEEKDAY(DATE($B$2,12,1),2)+1+7*3),2)+4),1,4)-WEEKDAY(DATE(YEAR((DATE($B$2,12,1)-WEEKDAY(DATE($B$2,12,1),2)+1+7*3)-WEEKDAY((DATE($B$2,12,1)-WEEKDAY(DATE($B$2,12,1),2)+1+7*3),2)+4),1,4),2)+1))/7)+1)</f>
        <v>52</v>
      </c>
      <c r="AC27" s="8" t="str">
        <f>IF(MONTH(DATE($B$2,12,1)-WEEKDAY(DATE($B$2,12,1),2)+1+7*3+0)&lt;&gt;12,"",DAY(DATE($B$2,12,1)-WEEKDAY(DATE($B$2,12,1),2)+1+7*3+0)&amp;IFERROR(CHAR(10)&amp;VLOOKUP(DATE($B$2,12,1)-WEEKDAY(DATE($B$2,12,1),2)+1+7*3+0,$AM$3:$AN$15,2,FALSE),""))</f>
        <v>21</v>
      </c>
      <c r="AD27" s="8" t="str">
        <f>IF(MONTH(DATE($B$2,12,1)-WEEKDAY(DATE($B$2,12,1),2)+1+7*3+1)&lt;&gt;12,"",DAY(DATE($B$2,12,1)-WEEKDAY(DATE($B$2,12,1),2)+1+7*3+1)&amp;IFERROR(CHAR(10)&amp;VLOOKUP(DATE($B$2,12,1)-WEEKDAY(DATE($B$2,12,1),2)+1+7*3+1,$AM$3:$AN$15,2,FALSE),""))</f>
        <v>22</v>
      </c>
      <c r="AE27" s="8" t="str">
        <f>IF(MONTH(DATE($B$2,12,1)-WEEKDAY(DATE($B$2,12,1),2)+1+7*3+2)&lt;&gt;12,"",DAY(DATE($B$2,12,1)-WEEKDAY(DATE($B$2,12,1),2)+1+7*3+2)&amp;IFERROR(CHAR(10)&amp;VLOOKUP(DATE($B$2,12,1)-WEEKDAY(DATE($B$2,12,1),2)+1+7*3+2,$AM$3:$AN$15,2,FALSE),""))</f>
        <v>23</v>
      </c>
      <c r="AF27" s="8" t="str">
        <f>IF(MONTH(DATE($B$2,12,1)-WEEKDAY(DATE($B$2,12,1),2)+1+7*3+3)&lt;&gt;12,"",DAY(DATE($B$2,12,1)-WEEKDAY(DATE($B$2,12,1),2)+1+7*3+3)&amp;IFERROR(CHAR(10)&amp;VLOOKUP(DATE($B$2,12,1)-WEEKDAY(DATE($B$2,12,1),2)+1+7*3+3,$AM$3:$AN$15,2,FALSE),""))</f>
        <v>24
Hl. Abend</v>
      </c>
      <c r="AG27" s="8" t="str">
        <f>IF(MONTH(DATE($B$2,12,1)-WEEKDAY(DATE($B$2,12,1),2)+1+7*3+4)&lt;&gt;12,"",DAY(DATE($B$2,12,1)-WEEKDAY(DATE($B$2,12,1),2)+1+7*3+4)&amp;IFERROR(CHAR(10)&amp;VLOOKUP(DATE($B$2,12,1)-WEEKDAY(DATE($B$2,12,1),2)+1+7*3+4,$AM$3:$AN$15,2,FALSE),""))</f>
        <v>25</v>
      </c>
      <c r="AH27" s="9" t="str">
        <f>IF(MONTH(DATE($B$2,12,1)-WEEKDAY(DATE($B$2,12,1),2)+1+7*3+5)&lt;&gt;12,"",DAY(DATE($B$2,12,1)-WEEKDAY(DATE($B$2,12,1),2)+1+7*3+5)&amp;IFERROR(CHAR(10)&amp;VLOOKUP(DATE($B$2,12,1)-WEEKDAY(DATE($B$2,12,1),2)+1+7*3+5,$AM$3:$AN$15,2,FALSE),""))</f>
        <v>26</v>
      </c>
      <c r="AI27" s="10" t="str">
        <f>IF(MONTH(DATE($B$2,12,1)-WEEKDAY(DATE($B$2,12,1),2)+1+7*3+6)&lt;&gt;12,"",DAY(DATE($B$2,12,1)-WEEKDAY(DATE($B$2,12,1),2)+1+7*3+6)&amp;IFERROR(CHAR(10)&amp;VLOOKUP(DATE($B$2,12,1)-WEEKDAY(DATE($B$2,12,1),2)+1+7*3+6,$AM$3:$AN$15,2,FALSE),""))</f>
        <v>27</v>
      </c>
    </row>
    <row r="28" spans="1:35" ht="29.1" customHeight="1" x14ac:dyDescent="0.25">
      <c r="A28" s="20">
        <f>IF(AND(MONTH(DATE($B$2,9,1)-WEEKDAY(DATE($B$2,9,1),2)+1+7*4)&lt;&gt;9,MONTH((DATE($B$2,9,1)-WEEKDAY(DATE($B$2,9,1),2)+1+7*4)+6)&lt;&gt;9),"",INT(((DATE($B$2,9,1)-WEEKDAY(DATE($B$2,9,1),2)+1+7*4)-(DATE(YEAR((DATE($B$2,9,1)-WEEKDAY(DATE($B$2,9,1),2)+1+7*4)-WEEKDAY((DATE($B$2,9,1)-WEEKDAY(DATE($B$2,9,1),2)+1+7*4),2)+4),1,4)-WEEKDAY(DATE(YEAR((DATE($B$2,9,1)-WEEKDAY(DATE($B$2,9,1),2)+1+7*4)-WEEKDAY((DATE($B$2,9,1)-WEEKDAY(DATE($B$2,9,1),2)+1+7*4),2)+4),1,4),2)+1))/7)+1)</f>
        <v>40</v>
      </c>
      <c r="B28" s="8" t="str">
        <f>IF(MONTH(DATE($B$2,9,1)-WEEKDAY(DATE($B$2,9,1),2)+1+7*4+0)&lt;&gt;9,"",DAY(DATE($B$2,9,1)-WEEKDAY(DATE($B$2,9,1),2)+1+7*4+0)&amp;IFERROR(CHAR(10)&amp;VLOOKUP(DATE($B$2,9,1)-WEEKDAY(DATE($B$2,9,1),2)+1+7*4+0,$AM$3:$AN$15,2,FALSE),""))</f>
        <v>28</v>
      </c>
      <c r="C28" s="8" t="str">
        <f>IF(MONTH(DATE($B$2,9,1)-WEEKDAY(DATE($B$2,9,1),2)+1+7*4+1)&lt;&gt;9,"",DAY(DATE($B$2,9,1)-WEEKDAY(DATE($B$2,9,1),2)+1+7*4+1)&amp;IFERROR(CHAR(10)&amp;VLOOKUP(DATE($B$2,9,1)-WEEKDAY(DATE($B$2,9,1),2)+1+7*4+1,$AM$3:$AN$15,2,FALSE),""))</f>
        <v>29</v>
      </c>
      <c r="D28" s="8" t="str">
        <f>IF(MONTH(DATE($B$2,9,1)-WEEKDAY(DATE($B$2,9,1),2)+1+7*4+2)&lt;&gt;9,"",DAY(DATE($B$2,9,1)-WEEKDAY(DATE($B$2,9,1),2)+1+7*4+2)&amp;IFERROR(CHAR(10)&amp;VLOOKUP(DATE($B$2,9,1)-WEEKDAY(DATE($B$2,9,1),2)+1+7*4+2,$AM$3:$AN$15,2,FALSE),""))</f>
        <v>30</v>
      </c>
      <c r="E28" s="8" t="str">
        <f>IF(MONTH(DATE($B$2,9,1)-WEEKDAY(DATE($B$2,9,1),2)+1+7*4+3)&lt;&gt;9,"",DAY(DATE($B$2,9,1)-WEEKDAY(DATE($B$2,9,1),2)+1+7*4+3)&amp;IFERROR(CHAR(10)&amp;VLOOKUP(DATE($B$2,9,1)-WEEKDAY(DATE($B$2,9,1),2)+1+7*4+3,$AM$3:$AN$15,2,FALSE),""))</f>
        <v/>
      </c>
      <c r="F28" s="8" t="str">
        <f>IF(MONTH(DATE($B$2,9,1)-WEEKDAY(DATE($B$2,9,1),2)+1+7*4+4)&lt;&gt;9,"",DAY(DATE($B$2,9,1)-WEEKDAY(DATE($B$2,9,1),2)+1+7*4+4)&amp;IFERROR(CHAR(10)&amp;VLOOKUP(DATE($B$2,9,1)-WEEKDAY(DATE($B$2,9,1),2)+1+7*4+4,$AM$3:$AN$15,2,FALSE),""))</f>
        <v/>
      </c>
      <c r="G28" s="9" t="str">
        <f>IF(MONTH(DATE($B$2,9,1)-WEEKDAY(DATE($B$2,9,1),2)+1+7*4+5)&lt;&gt;9,"",DAY(DATE($B$2,9,1)-WEEKDAY(DATE($B$2,9,1),2)+1+7*4+5)&amp;IFERROR(CHAR(10)&amp;VLOOKUP(DATE($B$2,9,1)-WEEKDAY(DATE($B$2,9,1),2)+1+7*4+5,$AM$3:$AN$15,2,FALSE),""))</f>
        <v/>
      </c>
      <c r="H28" s="10" t="str">
        <f>IF(MONTH(DATE($B$2,9,1)-WEEKDAY(DATE($B$2,9,1),2)+1+7*4+6)&lt;&gt;9,"",DAY(DATE($B$2,9,1)-WEEKDAY(DATE($B$2,9,1),2)+1+7*4+6)&amp;IFERROR(CHAR(10)&amp;VLOOKUP(DATE($B$2,9,1)-WEEKDAY(DATE($B$2,9,1),2)+1+7*4+6,$AM$3:$AN$15,2,FALSE),""))</f>
        <v/>
      </c>
      <c r="J28" s="20">
        <f>IF(AND(MONTH(DATE($B$2,10,1)-WEEKDAY(DATE($B$2,10,1),2)+1+7*4)&lt;&gt;10,MONTH((DATE($B$2,10,1)-WEEKDAY(DATE($B$2,10,1),2)+1+7*4)+6)&lt;&gt;10),"",INT(((DATE($B$2,10,1)-WEEKDAY(DATE($B$2,10,1),2)+1+7*4)-(DATE(YEAR((DATE($B$2,10,1)-WEEKDAY(DATE($B$2,10,1),2)+1+7*4)-WEEKDAY((DATE($B$2,10,1)-WEEKDAY(DATE($B$2,10,1),2)+1+7*4),2)+4),1,4)-WEEKDAY(DATE(YEAR((DATE($B$2,10,1)-WEEKDAY(DATE($B$2,10,1),2)+1+7*4)-WEEKDAY((DATE($B$2,10,1)-WEEKDAY(DATE($B$2,10,1),2)+1+7*4),2)+4),1,4),2)+1))/7)+1)</f>
        <v>44</v>
      </c>
      <c r="K28" s="8" t="str">
        <f>IF(MONTH(DATE($B$2,10,1)-WEEKDAY(DATE($B$2,10,1),2)+1+7*4+0)&lt;&gt;10,"",DAY(DATE($B$2,10,1)-WEEKDAY(DATE($B$2,10,1),2)+1+7*4+0)&amp;IFERROR(CHAR(10)&amp;VLOOKUP(DATE($B$2,10,1)-WEEKDAY(DATE($B$2,10,1),2)+1+7*4+0,$AM$3:$AN$15,2,FALSE),""))</f>
        <v>26</v>
      </c>
      <c r="L28" s="8" t="str">
        <f>IF(MONTH(DATE($B$2,10,1)-WEEKDAY(DATE($B$2,10,1),2)+1+7*4+1)&lt;&gt;10,"",DAY(DATE($B$2,10,1)-WEEKDAY(DATE($B$2,10,1),2)+1+7*4+1)&amp;IFERROR(CHAR(10)&amp;VLOOKUP(DATE($B$2,10,1)-WEEKDAY(DATE($B$2,10,1),2)+1+7*4+1,$AM$3:$AN$15,2,FALSE),""))</f>
        <v>27</v>
      </c>
      <c r="M28" s="8" t="str">
        <f>IF(MONTH(DATE($B$2,10,1)-WEEKDAY(DATE($B$2,10,1),2)+1+7*4+2)&lt;&gt;10,"",DAY(DATE($B$2,10,1)-WEEKDAY(DATE($B$2,10,1),2)+1+7*4+2)&amp;IFERROR(CHAR(10)&amp;VLOOKUP(DATE($B$2,10,1)-WEEKDAY(DATE($B$2,10,1),2)+1+7*4+2,$AM$3:$AN$15,2,FALSE),""))</f>
        <v>28</v>
      </c>
      <c r="N28" s="8" t="str">
        <f>IF(MONTH(DATE($B$2,10,1)-WEEKDAY(DATE($B$2,10,1),2)+1+7*4+3)&lt;&gt;10,"",DAY(DATE($B$2,10,1)-WEEKDAY(DATE($B$2,10,1),2)+1+7*4+3)&amp;IFERROR(CHAR(10)&amp;VLOOKUP(DATE($B$2,10,1)-WEEKDAY(DATE($B$2,10,1),2)+1+7*4+3,$AM$3:$AN$15,2,FALSE),""))</f>
        <v>29</v>
      </c>
      <c r="O28" s="8" t="str">
        <f>IF(MONTH(DATE($B$2,10,1)-WEEKDAY(DATE($B$2,10,1),2)+1+7*4+4)&lt;&gt;10,"",DAY(DATE($B$2,10,1)-WEEKDAY(DATE($B$2,10,1),2)+1+7*4+4)&amp;IFERROR(CHAR(10)&amp;VLOOKUP(DATE($B$2,10,1)-WEEKDAY(DATE($B$2,10,1),2)+1+7*4+4,$AM$3:$AN$15,2,FALSE),""))</f>
        <v>30</v>
      </c>
      <c r="P28" s="9" t="str">
        <f>IF(MONTH(DATE($B$2,10,1)-WEEKDAY(DATE($B$2,10,1),2)+1+7*4+5)&lt;&gt;10,"",DAY(DATE($B$2,10,1)-WEEKDAY(DATE($B$2,10,1),2)+1+7*4+5)&amp;IFERROR(CHAR(10)&amp;VLOOKUP(DATE($B$2,10,1)-WEEKDAY(DATE($B$2,10,1),2)+1+7*4+5,$AM$3:$AN$15,2,FALSE),""))</f>
        <v>31</v>
      </c>
      <c r="Q28" s="10" t="str">
        <f>IF(MONTH(DATE($B$2,10,1)-WEEKDAY(DATE($B$2,10,1),2)+1+7*4+6)&lt;&gt;10,"",DAY(DATE($B$2,10,1)-WEEKDAY(DATE($B$2,10,1),2)+1+7*4+6)&amp;IFERROR(CHAR(10)&amp;VLOOKUP(DATE($B$2,10,1)-WEEKDAY(DATE($B$2,10,1),2)+1+7*4+6,$AM$3:$AN$15,2,FALSE),""))</f>
        <v/>
      </c>
      <c r="S28" s="20">
        <f>IF(AND(MONTH(DATE($B$2,11,1)-WEEKDAY(DATE($B$2,11,1),2)+1+7*4)&lt;&gt;11,MONTH((DATE($B$2,11,1)-WEEKDAY(DATE($B$2,11,1),2)+1+7*4)+6)&lt;&gt;11),"",INT(((DATE($B$2,11,1)-WEEKDAY(DATE($B$2,11,1),2)+1+7*4)-(DATE(YEAR((DATE($B$2,11,1)-WEEKDAY(DATE($B$2,11,1),2)+1+7*4)-WEEKDAY((DATE($B$2,11,1)-WEEKDAY(DATE($B$2,11,1),2)+1+7*4),2)+4),1,4)-WEEKDAY(DATE(YEAR((DATE($B$2,11,1)-WEEKDAY(DATE($B$2,11,1),2)+1+7*4)-WEEKDAY((DATE($B$2,11,1)-WEEKDAY(DATE($B$2,11,1),2)+1+7*4),2)+4),1,4),2)+1))/7)+1)</f>
        <v>48</v>
      </c>
      <c r="T28" s="8" t="str">
        <f>IF(MONTH(DATE($B$2,11,1)-WEEKDAY(DATE($B$2,11,1),2)+1+7*4+0)&lt;&gt;11,"",DAY(DATE($B$2,11,1)-WEEKDAY(DATE($B$2,11,1),2)+1+7*4+0)&amp;IFERROR(CHAR(10)&amp;VLOOKUP(DATE($B$2,11,1)-WEEKDAY(DATE($B$2,11,1),2)+1+7*4+0,$AM$3:$AN$15,2,FALSE),""))</f>
        <v>23</v>
      </c>
      <c r="U28" s="8" t="str">
        <f>IF(MONTH(DATE($B$2,11,1)-WEEKDAY(DATE($B$2,11,1),2)+1+7*4+1)&lt;&gt;11,"",DAY(DATE($B$2,11,1)-WEEKDAY(DATE($B$2,11,1),2)+1+7*4+1)&amp;IFERROR(CHAR(10)&amp;VLOOKUP(DATE($B$2,11,1)-WEEKDAY(DATE($B$2,11,1),2)+1+7*4+1,$AM$3:$AN$15,2,FALSE),""))</f>
        <v>24</v>
      </c>
      <c r="V28" s="8" t="str">
        <f>IF(MONTH(DATE($B$2,11,1)-WEEKDAY(DATE($B$2,11,1),2)+1+7*4+2)&lt;&gt;11,"",DAY(DATE($B$2,11,1)-WEEKDAY(DATE($B$2,11,1),2)+1+7*4+2)&amp;IFERROR(CHAR(10)&amp;VLOOKUP(DATE($B$2,11,1)-WEEKDAY(DATE($B$2,11,1),2)+1+7*4+2,$AM$3:$AN$15,2,FALSE),""))</f>
        <v>25</v>
      </c>
      <c r="W28" s="8" t="str">
        <f>IF(MONTH(DATE($B$2,11,1)-WEEKDAY(DATE($B$2,11,1),2)+1+7*4+3)&lt;&gt;11,"",DAY(DATE($B$2,11,1)-WEEKDAY(DATE($B$2,11,1),2)+1+7*4+3)&amp;IFERROR(CHAR(10)&amp;VLOOKUP(DATE($B$2,11,1)-WEEKDAY(DATE($B$2,11,1),2)+1+7*4+3,$AM$3:$AN$15,2,FALSE),""))</f>
        <v>26</v>
      </c>
      <c r="X28" s="8" t="str">
        <f>IF(MONTH(DATE($B$2,11,1)-WEEKDAY(DATE($B$2,11,1),2)+1+7*4+4)&lt;&gt;11,"",DAY(DATE($B$2,11,1)-WEEKDAY(DATE($B$2,11,1),2)+1+7*4+4)&amp;IFERROR(CHAR(10)&amp;VLOOKUP(DATE($B$2,11,1)-WEEKDAY(DATE($B$2,11,1),2)+1+7*4+4,$AM$3:$AN$15,2,FALSE),""))</f>
        <v>27</v>
      </c>
      <c r="Y28" s="9" t="str">
        <f>IF(MONTH(DATE($B$2,11,1)-WEEKDAY(DATE($B$2,11,1),2)+1+7*4+5)&lt;&gt;11,"",DAY(DATE($B$2,11,1)-WEEKDAY(DATE($B$2,11,1),2)+1+7*4+5)&amp;IFERROR(CHAR(10)&amp;VLOOKUP(DATE($B$2,11,1)-WEEKDAY(DATE($B$2,11,1),2)+1+7*4+5,$AM$3:$AN$15,2,FALSE),""))</f>
        <v>28</v>
      </c>
      <c r="Z28" s="10" t="str">
        <f>IF(MONTH(DATE($B$2,11,1)-WEEKDAY(DATE($B$2,11,1),2)+1+7*4+6)&lt;&gt;11,"",DAY(DATE($B$2,11,1)-WEEKDAY(DATE($B$2,11,1),2)+1+7*4+6)&amp;IFERROR(CHAR(10)&amp;VLOOKUP(DATE($B$2,11,1)-WEEKDAY(DATE($B$2,11,1),2)+1+7*4+6,$AM$3:$AN$15,2,FALSE),""))</f>
        <v>29</v>
      </c>
      <c r="AB28" s="20">
        <f>IF(AND(MONTH(DATE($B$2,12,1)-WEEKDAY(DATE($B$2,12,1),2)+1+7*4)&lt;&gt;12,MONTH((DATE($B$2,12,1)-WEEKDAY(DATE($B$2,12,1),2)+1+7*4)+6)&lt;&gt;12),"",INT(((DATE($B$2,12,1)-WEEKDAY(DATE($B$2,12,1),2)+1+7*4)-(DATE(YEAR((DATE($B$2,12,1)-WEEKDAY(DATE($B$2,12,1),2)+1+7*4)-WEEKDAY((DATE($B$2,12,1)-WEEKDAY(DATE($B$2,12,1),2)+1+7*4),2)+4),1,4)-WEEKDAY(DATE(YEAR((DATE($B$2,12,1)-WEEKDAY(DATE($B$2,12,1),2)+1+7*4)-WEEKDAY((DATE($B$2,12,1)-WEEKDAY(DATE($B$2,12,1),2)+1+7*4),2)+4),1,4),2)+1))/7)+1)</f>
        <v>53</v>
      </c>
      <c r="AC28" s="8" t="str">
        <f>IF(MONTH(DATE($B$2,12,1)-WEEKDAY(DATE($B$2,12,1),2)+1+7*4+0)&lt;&gt;12,"",DAY(DATE($B$2,12,1)-WEEKDAY(DATE($B$2,12,1),2)+1+7*4+0)&amp;IFERROR(CHAR(10)&amp;VLOOKUP(DATE($B$2,12,1)-WEEKDAY(DATE($B$2,12,1),2)+1+7*4+0,$AM$3:$AN$15,2,FALSE),""))</f>
        <v>28</v>
      </c>
      <c r="AD28" s="8" t="str">
        <f>IF(MONTH(DATE($B$2,12,1)-WEEKDAY(DATE($B$2,12,1),2)+1+7*4+1)&lt;&gt;12,"",DAY(DATE($B$2,12,1)-WEEKDAY(DATE($B$2,12,1),2)+1+7*4+1)&amp;IFERROR(CHAR(10)&amp;VLOOKUP(DATE($B$2,12,1)-WEEKDAY(DATE($B$2,12,1),2)+1+7*4+1,$AM$3:$AN$15,2,FALSE),""))</f>
        <v>29</v>
      </c>
      <c r="AE28" s="8" t="str">
        <f>IF(MONTH(DATE($B$2,12,1)-WEEKDAY(DATE($B$2,12,1),2)+1+7*4+2)&lt;&gt;12,"",DAY(DATE($B$2,12,1)-WEEKDAY(DATE($B$2,12,1),2)+1+7*4+2)&amp;IFERROR(CHAR(10)&amp;VLOOKUP(DATE($B$2,12,1)-WEEKDAY(DATE($B$2,12,1),2)+1+7*4+2,$AM$3:$AN$15,2,FALSE),""))</f>
        <v>30</v>
      </c>
      <c r="AF28" s="8" t="str">
        <f>IF(MONTH(DATE($B$2,12,1)-WEEKDAY(DATE($B$2,12,1),2)+1+7*4+3)&lt;&gt;12,"",DAY(DATE($B$2,12,1)-WEEKDAY(DATE($B$2,12,1),2)+1+7*4+3)&amp;IFERROR(CHAR(10)&amp;VLOOKUP(DATE($B$2,12,1)-WEEKDAY(DATE($B$2,12,1),2)+1+7*4+3,$AM$3:$AN$15,2,FALSE),""))</f>
        <v>31
Jahresende</v>
      </c>
      <c r="AG28" s="8" t="str">
        <f>IF(MONTH(DATE($B$2,12,1)-WEEKDAY(DATE($B$2,12,1),2)+1+7*4+4)&lt;&gt;12,"",DAY(DATE($B$2,12,1)-WEEKDAY(DATE($B$2,12,1),2)+1+7*4+4)&amp;IFERROR(CHAR(10)&amp;VLOOKUP(DATE($B$2,12,1)-WEEKDAY(DATE($B$2,12,1),2)+1+7*4+4,$AM$3:$AN$15,2,FALSE),""))</f>
        <v/>
      </c>
      <c r="AH28" s="9" t="str">
        <f>IF(MONTH(DATE($B$2,12,1)-WEEKDAY(DATE($B$2,12,1),2)+1+7*4+5)&lt;&gt;12,"",DAY(DATE($B$2,12,1)-WEEKDAY(DATE($B$2,12,1),2)+1+7*4+5)&amp;IFERROR(CHAR(10)&amp;VLOOKUP(DATE($B$2,12,1)-WEEKDAY(DATE($B$2,12,1),2)+1+7*4+5,$AM$3:$AN$15,2,FALSE),""))</f>
        <v/>
      </c>
      <c r="AI28" s="10" t="str">
        <f>IF(MONTH(DATE($B$2,12,1)-WEEKDAY(DATE($B$2,12,1),2)+1+7*4+6)&lt;&gt;12,"",DAY(DATE($B$2,12,1)-WEEKDAY(DATE($B$2,12,1),2)+1+7*4+6)&amp;IFERROR(CHAR(10)&amp;VLOOKUP(DATE($B$2,12,1)-WEEKDAY(DATE($B$2,12,1),2)+1+7*4+6,$AM$3:$AN$15,2,FALSE),""))</f>
        <v/>
      </c>
    </row>
    <row r="29" spans="1:35" ht="29.1" customHeight="1" x14ac:dyDescent="0.25">
      <c r="A29" s="21" t="str">
        <f>IF(AND(MONTH(DATE($B$2,9,1)-WEEKDAY(DATE($B$2,9,1),2)+1+7*5)&lt;&gt;9,MONTH((DATE($B$2,9,1)-WEEKDAY(DATE($B$2,9,1),2)+1+7*5)+6)&lt;&gt;9),"",INT(((DATE($B$2,9,1)-WEEKDAY(DATE($B$2,9,1),2)+1+7*5)-(DATE(YEAR((DATE($B$2,9,1)-WEEKDAY(DATE($B$2,9,1),2)+1+7*5)-WEEKDAY((DATE($B$2,9,1)-WEEKDAY(DATE($B$2,9,1),2)+1+7*5),2)+4),1,4)-WEEKDAY(DATE(YEAR((DATE($B$2,9,1)-WEEKDAY(DATE($B$2,9,1),2)+1+7*5)-WEEKDAY((DATE($B$2,9,1)-WEEKDAY(DATE($B$2,9,1),2)+1+7*5),2)+4),1,4),2)+1))/7)+1)</f>
        <v/>
      </c>
      <c r="B29" s="11" t="str">
        <f>IF(MONTH(DATE($B$2,9,1)-WEEKDAY(DATE($B$2,9,1),2)+1+7*5+0)&lt;&gt;9,"",DAY(DATE($B$2,9,1)-WEEKDAY(DATE($B$2,9,1),2)+1+7*5+0)&amp;IFERROR(CHAR(10)&amp;VLOOKUP(DATE($B$2,9,1)-WEEKDAY(DATE($B$2,9,1),2)+1+7*5+0,$AM$3:$AN$15,2,FALSE),""))</f>
        <v/>
      </c>
      <c r="C29" s="11" t="str">
        <f>IF(MONTH(DATE($B$2,9,1)-WEEKDAY(DATE($B$2,9,1),2)+1+7*5+1)&lt;&gt;9,"",DAY(DATE($B$2,9,1)-WEEKDAY(DATE($B$2,9,1),2)+1+7*5+1)&amp;IFERROR(CHAR(10)&amp;VLOOKUP(DATE($B$2,9,1)-WEEKDAY(DATE($B$2,9,1),2)+1+7*5+1,$AM$3:$AN$15,2,FALSE),""))</f>
        <v/>
      </c>
      <c r="D29" s="11" t="str">
        <f>IF(MONTH(DATE($B$2,9,1)-WEEKDAY(DATE($B$2,9,1),2)+1+7*5+2)&lt;&gt;9,"",DAY(DATE($B$2,9,1)-WEEKDAY(DATE($B$2,9,1),2)+1+7*5+2)&amp;IFERROR(CHAR(10)&amp;VLOOKUP(DATE($B$2,9,1)-WEEKDAY(DATE($B$2,9,1),2)+1+7*5+2,$AM$3:$AN$15,2,FALSE),""))</f>
        <v/>
      </c>
      <c r="E29" s="11" t="str">
        <f>IF(MONTH(DATE($B$2,9,1)-WEEKDAY(DATE($B$2,9,1),2)+1+7*5+3)&lt;&gt;9,"",DAY(DATE($B$2,9,1)-WEEKDAY(DATE($B$2,9,1),2)+1+7*5+3)&amp;IFERROR(CHAR(10)&amp;VLOOKUP(DATE($B$2,9,1)-WEEKDAY(DATE($B$2,9,1),2)+1+7*5+3,$AM$3:$AN$15,2,FALSE),""))</f>
        <v/>
      </c>
      <c r="F29" s="11" t="str">
        <f>IF(MONTH(DATE($B$2,9,1)-WEEKDAY(DATE($B$2,9,1),2)+1+7*5+4)&lt;&gt;9,"",DAY(DATE($B$2,9,1)-WEEKDAY(DATE($B$2,9,1),2)+1+7*5+4)&amp;IFERROR(CHAR(10)&amp;VLOOKUP(DATE($B$2,9,1)-WEEKDAY(DATE($B$2,9,1),2)+1+7*5+4,$AM$3:$AN$15,2,FALSE),""))</f>
        <v/>
      </c>
      <c r="G29" s="12" t="str">
        <f>IF(MONTH(DATE($B$2,9,1)-WEEKDAY(DATE($B$2,9,1),2)+1+7*5+5)&lt;&gt;9,"",DAY(DATE($B$2,9,1)-WEEKDAY(DATE($B$2,9,1),2)+1+7*5+5)&amp;IFERROR(CHAR(10)&amp;VLOOKUP(DATE($B$2,9,1)-WEEKDAY(DATE($B$2,9,1),2)+1+7*5+5,$AM$3:$AN$15,2,FALSE),""))</f>
        <v/>
      </c>
      <c r="H29" s="13" t="str">
        <f>IF(MONTH(DATE($B$2,9,1)-WEEKDAY(DATE($B$2,9,1),2)+1+7*5+6)&lt;&gt;9,"",DAY(DATE($B$2,9,1)-WEEKDAY(DATE($B$2,9,1),2)+1+7*5+6)&amp;IFERROR(CHAR(10)&amp;VLOOKUP(DATE($B$2,9,1)-WEEKDAY(DATE($B$2,9,1),2)+1+7*5+6,$AM$3:$AN$15,2,FALSE),""))</f>
        <v/>
      </c>
      <c r="J29" s="21" t="str">
        <f>IF(AND(MONTH(DATE($B$2,10,1)-WEEKDAY(DATE($B$2,10,1),2)+1+7*5)&lt;&gt;10,MONTH((DATE($B$2,10,1)-WEEKDAY(DATE($B$2,10,1),2)+1+7*5)+6)&lt;&gt;10),"",INT(((DATE($B$2,10,1)-WEEKDAY(DATE($B$2,10,1),2)+1+7*5)-(DATE(YEAR((DATE($B$2,10,1)-WEEKDAY(DATE($B$2,10,1),2)+1+7*5)-WEEKDAY((DATE($B$2,10,1)-WEEKDAY(DATE($B$2,10,1),2)+1+7*5),2)+4),1,4)-WEEKDAY(DATE(YEAR((DATE($B$2,10,1)-WEEKDAY(DATE($B$2,10,1),2)+1+7*5)-WEEKDAY((DATE($B$2,10,1)-WEEKDAY(DATE($B$2,10,1),2)+1+7*5),2)+4),1,4),2)+1))/7)+1)</f>
        <v/>
      </c>
      <c r="K29" s="11" t="str">
        <f>IF(MONTH(DATE($B$2,10,1)-WEEKDAY(DATE($B$2,10,1),2)+1+7*5+0)&lt;&gt;10,"",DAY(DATE($B$2,10,1)-WEEKDAY(DATE($B$2,10,1),2)+1+7*5+0)&amp;IFERROR(CHAR(10)&amp;VLOOKUP(DATE($B$2,10,1)-WEEKDAY(DATE($B$2,10,1),2)+1+7*5+0,$AM$3:$AN$15,2,FALSE),""))</f>
        <v/>
      </c>
      <c r="L29" s="11" t="str">
        <f>IF(MONTH(DATE($B$2,10,1)-WEEKDAY(DATE($B$2,10,1),2)+1+7*5+1)&lt;&gt;10,"",DAY(DATE($B$2,10,1)-WEEKDAY(DATE($B$2,10,1),2)+1+7*5+1)&amp;IFERROR(CHAR(10)&amp;VLOOKUP(DATE($B$2,10,1)-WEEKDAY(DATE($B$2,10,1),2)+1+7*5+1,$AM$3:$AN$15,2,FALSE),""))</f>
        <v/>
      </c>
      <c r="M29" s="11" t="str">
        <f>IF(MONTH(DATE($B$2,10,1)-WEEKDAY(DATE($B$2,10,1),2)+1+7*5+2)&lt;&gt;10,"",DAY(DATE($B$2,10,1)-WEEKDAY(DATE($B$2,10,1),2)+1+7*5+2)&amp;IFERROR(CHAR(10)&amp;VLOOKUP(DATE($B$2,10,1)-WEEKDAY(DATE($B$2,10,1),2)+1+7*5+2,$AM$3:$AN$15,2,FALSE),""))</f>
        <v/>
      </c>
      <c r="N29" s="11" t="str">
        <f>IF(MONTH(DATE($B$2,10,1)-WEEKDAY(DATE($B$2,10,1),2)+1+7*5+3)&lt;&gt;10,"",DAY(DATE($B$2,10,1)-WEEKDAY(DATE($B$2,10,1),2)+1+7*5+3)&amp;IFERROR(CHAR(10)&amp;VLOOKUP(DATE($B$2,10,1)-WEEKDAY(DATE($B$2,10,1),2)+1+7*5+3,$AM$3:$AN$15,2,FALSE),""))</f>
        <v/>
      </c>
      <c r="O29" s="11" t="str">
        <f>IF(MONTH(DATE($B$2,10,1)-WEEKDAY(DATE($B$2,10,1),2)+1+7*5+4)&lt;&gt;10,"",DAY(DATE($B$2,10,1)-WEEKDAY(DATE($B$2,10,1),2)+1+7*5+4)&amp;IFERROR(CHAR(10)&amp;VLOOKUP(DATE($B$2,10,1)-WEEKDAY(DATE($B$2,10,1),2)+1+7*5+4,$AM$3:$AN$15,2,FALSE),""))</f>
        <v/>
      </c>
      <c r="P29" s="12" t="str">
        <f>IF(MONTH(DATE($B$2,10,1)-WEEKDAY(DATE($B$2,10,1),2)+1+7*5+5)&lt;&gt;10,"",DAY(DATE($B$2,10,1)-WEEKDAY(DATE($B$2,10,1),2)+1+7*5+5)&amp;IFERROR(CHAR(10)&amp;VLOOKUP(DATE($B$2,10,1)-WEEKDAY(DATE($B$2,10,1),2)+1+7*5+5,$AM$3:$AN$15,2,FALSE),""))</f>
        <v/>
      </c>
      <c r="Q29" s="13" t="str">
        <f>IF(MONTH(DATE($B$2,10,1)-WEEKDAY(DATE($B$2,10,1),2)+1+7*5+6)&lt;&gt;10,"",DAY(DATE($B$2,10,1)-WEEKDAY(DATE($B$2,10,1),2)+1+7*5+6)&amp;IFERROR(CHAR(10)&amp;VLOOKUP(DATE($B$2,10,1)-WEEKDAY(DATE($B$2,10,1),2)+1+7*5+6,$AM$3:$AN$15,2,FALSE),""))</f>
        <v/>
      </c>
      <c r="S29" s="21">
        <f>IF(AND(MONTH(DATE($B$2,11,1)-WEEKDAY(DATE($B$2,11,1),2)+1+7*5)&lt;&gt;11,MONTH((DATE($B$2,11,1)-WEEKDAY(DATE($B$2,11,1),2)+1+7*5)+6)&lt;&gt;11),"",INT(((DATE($B$2,11,1)-WEEKDAY(DATE($B$2,11,1),2)+1+7*5)-(DATE(YEAR((DATE($B$2,11,1)-WEEKDAY(DATE($B$2,11,1),2)+1+7*5)-WEEKDAY((DATE($B$2,11,1)-WEEKDAY(DATE($B$2,11,1),2)+1+7*5),2)+4),1,4)-WEEKDAY(DATE(YEAR((DATE($B$2,11,1)-WEEKDAY(DATE($B$2,11,1),2)+1+7*5)-WEEKDAY((DATE($B$2,11,1)-WEEKDAY(DATE($B$2,11,1),2)+1+7*5),2)+4),1,4),2)+1))/7)+1)</f>
        <v>49</v>
      </c>
      <c r="T29" s="11" t="str">
        <f>IF(MONTH(DATE($B$2,11,1)-WEEKDAY(DATE($B$2,11,1),2)+1+7*5+0)&lt;&gt;11,"",DAY(DATE($B$2,11,1)-WEEKDAY(DATE($B$2,11,1),2)+1+7*5+0)&amp;IFERROR(CHAR(10)&amp;VLOOKUP(DATE($B$2,11,1)-WEEKDAY(DATE($B$2,11,1),2)+1+7*5+0,$AM$3:$AN$15,2,FALSE),""))</f>
        <v>30</v>
      </c>
      <c r="U29" s="11" t="str">
        <f>IF(MONTH(DATE($B$2,11,1)-WEEKDAY(DATE($B$2,11,1),2)+1+7*5+1)&lt;&gt;11,"",DAY(DATE($B$2,11,1)-WEEKDAY(DATE($B$2,11,1),2)+1+7*5+1)&amp;IFERROR(CHAR(10)&amp;VLOOKUP(DATE($B$2,11,1)-WEEKDAY(DATE($B$2,11,1),2)+1+7*5+1,$AM$3:$AN$15,2,FALSE),""))</f>
        <v/>
      </c>
      <c r="V29" s="11" t="str">
        <f>IF(MONTH(DATE($B$2,11,1)-WEEKDAY(DATE($B$2,11,1),2)+1+7*5+2)&lt;&gt;11,"",DAY(DATE($B$2,11,1)-WEEKDAY(DATE($B$2,11,1),2)+1+7*5+2)&amp;IFERROR(CHAR(10)&amp;VLOOKUP(DATE($B$2,11,1)-WEEKDAY(DATE($B$2,11,1),2)+1+7*5+2,$AM$3:$AN$15,2,FALSE),""))</f>
        <v/>
      </c>
      <c r="W29" s="11" t="str">
        <f>IF(MONTH(DATE($B$2,11,1)-WEEKDAY(DATE($B$2,11,1),2)+1+7*5+3)&lt;&gt;11,"",DAY(DATE($B$2,11,1)-WEEKDAY(DATE($B$2,11,1),2)+1+7*5+3)&amp;IFERROR(CHAR(10)&amp;VLOOKUP(DATE($B$2,11,1)-WEEKDAY(DATE($B$2,11,1),2)+1+7*5+3,$AM$3:$AN$15,2,FALSE),""))</f>
        <v/>
      </c>
      <c r="X29" s="11" t="str">
        <f>IF(MONTH(DATE($B$2,11,1)-WEEKDAY(DATE($B$2,11,1),2)+1+7*5+4)&lt;&gt;11,"",DAY(DATE($B$2,11,1)-WEEKDAY(DATE($B$2,11,1),2)+1+7*5+4)&amp;IFERROR(CHAR(10)&amp;VLOOKUP(DATE($B$2,11,1)-WEEKDAY(DATE($B$2,11,1),2)+1+7*5+4,$AM$3:$AN$15,2,FALSE),""))</f>
        <v/>
      </c>
      <c r="Y29" s="12" t="str">
        <f>IF(MONTH(DATE($B$2,11,1)-WEEKDAY(DATE($B$2,11,1),2)+1+7*5+5)&lt;&gt;11,"",DAY(DATE($B$2,11,1)-WEEKDAY(DATE($B$2,11,1),2)+1+7*5+5)&amp;IFERROR(CHAR(10)&amp;VLOOKUP(DATE($B$2,11,1)-WEEKDAY(DATE($B$2,11,1),2)+1+7*5+5,$AM$3:$AN$15,2,FALSE),""))</f>
        <v/>
      </c>
      <c r="Z29" s="13" t="str">
        <f>IF(MONTH(DATE($B$2,11,1)-WEEKDAY(DATE($B$2,11,1),2)+1+7*5+6)&lt;&gt;11,"",DAY(DATE($B$2,11,1)-WEEKDAY(DATE($B$2,11,1),2)+1+7*5+6)&amp;IFERROR(CHAR(10)&amp;VLOOKUP(DATE($B$2,11,1)-WEEKDAY(DATE($B$2,11,1),2)+1+7*5+6,$AM$3:$AN$15,2,FALSE),""))</f>
        <v/>
      </c>
      <c r="AB29" s="21" t="str">
        <f>IF(AND(MONTH(DATE($B$2,12,1)-WEEKDAY(DATE($B$2,12,1),2)+1+7*5)&lt;&gt;12,MONTH((DATE($B$2,12,1)-WEEKDAY(DATE($B$2,12,1),2)+1+7*5)+6)&lt;&gt;12),"",INT(((DATE($B$2,12,1)-WEEKDAY(DATE($B$2,12,1),2)+1+7*5)-(DATE(YEAR((DATE($B$2,12,1)-WEEKDAY(DATE($B$2,12,1),2)+1+7*5)-WEEKDAY((DATE($B$2,12,1)-WEEKDAY(DATE($B$2,12,1),2)+1+7*5),2)+4),1,4)-WEEKDAY(DATE(YEAR((DATE($B$2,12,1)-WEEKDAY(DATE($B$2,12,1),2)+1+7*5)-WEEKDAY((DATE($B$2,12,1)-WEEKDAY(DATE($B$2,12,1),2)+1+7*5),2)+4),1,4),2)+1))/7)+1)</f>
        <v/>
      </c>
      <c r="AC29" s="11" t="str">
        <f>IF(MONTH(DATE($B$2,12,1)-WEEKDAY(DATE($B$2,12,1),2)+1+7*5+0)&lt;&gt;12,"",DAY(DATE($B$2,12,1)-WEEKDAY(DATE($B$2,12,1),2)+1+7*5+0)&amp;IFERROR(CHAR(10)&amp;VLOOKUP(DATE($B$2,12,1)-WEEKDAY(DATE($B$2,12,1),2)+1+7*5+0,$AM$3:$AN$15,2,FALSE),""))</f>
        <v/>
      </c>
      <c r="AD29" s="11" t="str">
        <f>IF(MONTH(DATE($B$2,12,1)-WEEKDAY(DATE($B$2,12,1),2)+1+7*5+1)&lt;&gt;12,"",DAY(DATE($B$2,12,1)-WEEKDAY(DATE($B$2,12,1),2)+1+7*5+1)&amp;IFERROR(CHAR(10)&amp;VLOOKUP(DATE($B$2,12,1)-WEEKDAY(DATE($B$2,12,1),2)+1+7*5+1,$AM$3:$AN$15,2,FALSE),""))</f>
        <v/>
      </c>
      <c r="AE29" s="11" t="str">
        <f>IF(MONTH(DATE($B$2,12,1)-WEEKDAY(DATE($B$2,12,1),2)+1+7*5+2)&lt;&gt;12,"",DAY(DATE($B$2,12,1)-WEEKDAY(DATE($B$2,12,1),2)+1+7*5+2)&amp;IFERROR(CHAR(10)&amp;VLOOKUP(DATE($B$2,12,1)-WEEKDAY(DATE($B$2,12,1),2)+1+7*5+2,$AM$3:$AN$15,2,FALSE),""))</f>
        <v/>
      </c>
      <c r="AF29" s="11" t="str">
        <f>IF(MONTH(DATE($B$2,12,1)-WEEKDAY(DATE($B$2,12,1),2)+1+7*5+3)&lt;&gt;12,"",DAY(DATE($B$2,12,1)-WEEKDAY(DATE($B$2,12,1),2)+1+7*5+3)&amp;IFERROR(CHAR(10)&amp;VLOOKUP(DATE($B$2,12,1)-WEEKDAY(DATE($B$2,12,1),2)+1+7*5+3,$AM$3:$AN$15,2,FALSE),""))</f>
        <v/>
      </c>
      <c r="AG29" s="11" t="str">
        <f>IF(MONTH(DATE($B$2,12,1)-WEEKDAY(DATE($B$2,12,1),2)+1+7*5+4)&lt;&gt;12,"",DAY(DATE($B$2,12,1)-WEEKDAY(DATE($B$2,12,1),2)+1+7*5+4)&amp;IFERROR(CHAR(10)&amp;VLOOKUP(DATE($B$2,12,1)-WEEKDAY(DATE($B$2,12,1),2)+1+7*5+4,$AM$3:$AN$15,2,FALSE),""))</f>
        <v/>
      </c>
      <c r="AH29" s="12" t="str">
        <f>IF(MONTH(DATE($B$2,12,1)-WEEKDAY(DATE($B$2,12,1),2)+1+7*5+5)&lt;&gt;12,"",DAY(DATE($B$2,12,1)-WEEKDAY(DATE($B$2,12,1),2)+1+7*5+5)&amp;IFERROR(CHAR(10)&amp;VLOOKUP(DATE($B$2,12,1)-WEEKDAY(DATE($B$2,12,1),2)+1+7*5+5,$AM$3:$AN$15,2,FALSE),""))</f>
        <v/>
      </c>
      <c r="AI29" s="13" t="str">
        <f>IF(MONTH(DATE($B$2,12,1)-WEEKDAY(DATE($B$2,12,1),2)+1+7*5+6)&lt;&gt;12,"",DAY(DATE($B$2,12,1)-WEEKDAY(DATE($B$2,12,1),2)+1+7*5+6)&amp;IFERROR(CHAR(10)&amp;VLOOKUP(DATE($B$2,12,1)-WEEKDAY(DATE($B$2,12,1),2)+1+7*5+6,$AM$3:$AN$15,2,FALSE),""))</f>
        <v/>
      </c>
    </row>
  </sheetData>
  <mergeCells count="15">
    <mergeCell ref="AK1:AL1"/>
    <mergeCell ref="A1:AI1"/>
    <mergeCell ref="A13:H13"/>
    <mergeCell ref="D2:N2"/>
    <mergeCell ref="J13:Q13"/>
    <mergeCell ref="S4:Z4"/>
    <mergeCell ref="A4:H4"/>
    <mergeCell ref="S13:Z13"/>
    <mergeCell ref="S22:Z22"/>
    <mergeCell ref="AB4:AI4"/>
    <mergeCell ref="J4:Q4"/>
    <mergeCell ref="AB13:AI13"/>
    <mergeCell ref="J22:Q22"/>
    <mergeCell ref="AB22:AI22"/>
    <mergeCell ref="A22:H22"/>
  </mergeCells>
  <conditionalFormatting sqref="B6:H11">
    <cfRule type="expression" dxfId="11" priority="1">
      <formula>LEN(B6)&gt;2</formula>
    </cfRule>
  </conditionalFormatting>
  <conditionalFormatting sqref="B15:H20">
    <cfRule type="expression" dxfId="10" priority="5">
      <formula>LEN(B15)&gt;2</formula>
    </cfRule>
  </conditionalFormatting>
  <conditionalFormatting sqref="B24:H29">
    <cfRule type="expression" dxfId="9" priority="9">
      <formula>LEN(B24)&gt;2</formula>
    </cfRule>
  </conditionalFormatting>
  <conditionalFormatting sqref="K6:Q11">
    <cfRule type="expression" dxfId="8" priority="2">
      <formula>LEN(K6)&gt;2</formula>
    </cfRule>
  </conditionalFormatting>
  <conditionalFormatting sqref="K15:Q20">
    <cfRule type="expression" dxfId="7" priority="6">
      <formula>LEN(K15)&gt;2</formula>
    </cfRule>
  </conditionalFormatting>
  <conditionalFormatting sqref="K24:Q29">
    <cfRule type="expression" dxfId="6" priority="10">
      <formula>LEN(K24)&gt;2</formula>
    </cfRule>
  </conditionalFormatting>
  <conditionalFormatting sqref="T6:Z11">
    <cfRule type="expression" dxfId="5" priority="3">
      <formula>LEN(T6)&gt;2</formula>
    </cfRule>
  </conditionalFormatting>
  <conditionalFormatting sqref="T15:Z20">
    <cfRule type="expression" dxfId="4" priority="7">
      <formula>LEN(T15)&gt;2</formula>
    </cfRule>
  </conditionalFormatting>
  <conditionalFormatting sqref="T24:Z29">
    <cfRule type="expression" dxfId="3" priority="11">
      <formula>LEN(T24)&gt;2</formula>
    </cfRule>
  </conditionalFormatting>
  <conditionalFormatting sqref="AC6:AI11">
    <cfRule type="expression" dxfId="2" priority="4">
      <formula>LEN(AC6)&gt;2</formula>
    </cfRule>
  </conditionalFormatting>
  <conditionalFormatting sqref="AC15:AI20">
    <cfRule type="expression" dxfId="1" priority="8">
      <formula>LEN(AC15)&gt;2</formula>
    </cfRule>
  </conditionalFormatting>
  <conditionalFormatting sqref="AC24:AI29">
    <cfRule type="expression" dxfId="0" priority="12">
      <formula>LEN(AC24)&gt;2</formula>
    </cfRule>
  </conditionalFormatting>
  <dataValidations count="1">
    <dataValidation type="whole" errorTitle="Ungültiges Jahr" error="Bitte ein Jahr zwischen 1900 und 2100 eingeben." promptTitle="Jahr wählen" prompt="Bitte ein Jahr zwischen 1900 und 2100 eingeben." sqref="B2" xr:uid="{00000000-0002-0000-0000-000000000000}">
      <formula1>1900</formula1>
      <formula2>2100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Jahresplaner</vt:lpstr>
      <vt:lpstr>Jahresplaner!Área_de_impresión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2026-03-27T11:58:03Z</dcterms:modified>
</cp:coreProperties>
</file>