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dienstplan kindergarten vorlage\"/>
    </mc:Choice>
  </mc:AlternateContent>
  <xr:revisionPtr revIDLastSave="0" documentId="13_ncr:1_{C6ED056B-1A53-4B58-89CA-3890150679FE}" xr6:coauthVersionLast="47" xr6:coauthVersionMax="47" xr10:uidLastSave="{00000000-0000-0000-0000-000000000000}"/>
  <bookViews>
    <workbookView xWindow="3855" yWindow="2550" windowWidth="20205" windowHeight="13275" xr2:uid="{00000000-000D-0000-FFFF-FFFF00000000}"/>
  </bookViews>
  <sheets>
    <sheet name="Dienstplan_Monat" sheetId="4" r:id="rId1"/>
    <sheet name="Mitarbeiter" sheetId="1" r:id="rId2"/>
    <sheet name="Schichten" sheetId="2" r:id="rId3"/>
    <sheet name="Feiertage" sheetId="3" r:id="rId4"/>
  </sheets>
  <definedNames>
    <definedName name="Codes">Schichten!$A$2:$A$9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4" i="4" l="1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AG13" i="4"/>
  <c r="AG16" i="4" s="1"/>
  <c r="AF13" i="4"/>
  <c r="AF16" i="4" s="1"/>
  <c r="AE13" i="4"/>
  <c r="AE16" i="4" s="1"/>
  <c r="AD13" i="4"/>
  <c r="AD16" i="4" s="1"/>
  <c r="AC13" i="4"/>
  <c r="AC16" i="4" s="1"/>
  <c r="AB13" i="4"/>
  <c r="AB16" i="4" s="1"/>
  <c r="AA13" i="4"/>
  <c r="AA16" i="4" s="1"/>
  <c r="Z13" i="4"/>
  <c r="Z16" i="4" s="1"/>
  <c r="Y13" i="4"/>
  <c r="Y16" i="4" s="1"/>
  <c r="X13" i="4"/>
  <c r="X16" i="4" s="1"/>
  <c r="W13" i="4"/>
  <c r="W16" i="4" s="1"/>
  <c r="V13" i="4"/>
  <c r="V16" i="4" s="1"/>
  <c r="U13" i="4"/>
  <c r="U16" i="4" s="1"/>
  <c r="T13" i="4"/>
  <c r="T16" i="4" s="1"/>
  <c r="S13" i="4"/>
  <c r="S16" i="4" s="1"/>
  <c r="R13" i="4"/>
  <c r="R16" i="4" s="1"/>
  <c r="Q13" i="4"/>
  <c r="Q16" i="4" s="1"/>
  <c r="P13" i="4"/>
  <c r="P16" i="4" s="1"/>
  <c r="O13" i="4"/>
  <c r="O16" i="4" s="1"/>
  <c r="N13" i="4"/>
  <c r="N16" i="4" s="1"/>
  <c r="M13" i="4"/>
  <c r="M16" i="4" s="1"/>
  <c r="L13" i="4"/>
  <c r="L16" i="4" s="1"/>
  <c r="K13" i="4"/>
  <c r="K16" i="4" s="1"/>
  <c r="J13" i="4"/>
  <c r="J16" i="4" s="1"/>
  <c r="I13" i="4"/>
  <c r="I16" i="4" s="1"/>
  <c r="H13" i="4"/>
  <c r="H16" i="4" s="1"/>
  <c r="G13" i="4"/>
  <c r="G16" i="4" s="1"/>
  <c r="F13" i="4"/>
  <c r="F16" i="4" s="1"/>
  <c r="E13" i="4"/>
  <c r="E16" i="4" s="1"/>
  <c r="D13" i="4"/>
  <c r="D16" i="4" s="1"/>
  <c r="C13" i="4"/>
  <c r="C16" i="4" s="1"/>
  <c r="AL12" i="4"/>
  <c r="AK12" i="4"/>
  <c r="AJ12" i="4"/>
  <c r="AI12" i="4"/>
  <c r="AM12" i="4" s="1"/>
  <c r="AH12" i="4"/>
  <c r="B12" i="4"/>
  <c r="A12" i="4"/>
  <c r="AL11" i="4"/>
  <c r="AK11" i="4"/>
  <c r="AJ11" i="4"/>
  <c r="AI11" i="4"/>
  <c r="AM11" i="4" s="1"/>
  <c r="AH11" i="4"/>
  <c r="B11" i="4"/>
  <c r="A11" i="4"/>
  <c r="AL10" i="4"/>
  <c r="AK10" i="4"/>
  <c r="AJ10" i="4"/>
  <c r="AI10" i="4"/>
  <c r="AM10" i="4" s="1"/>
  <c r="AH10" i="4"/>
  <c r="B10" i="4"/>
  <c r="A10" i="4"/>
  <c r="AL9" i="4"/>
  <c r="AK9" i="4"/>
  <c r="AJ9" i="4"/>
  <c r="AI9" i="4"/>
  <c r="AM9" i="4" s="1"/>
  <c r="AH9" i="4"/>
  <c r="B9" i="4"/>
  <c r="A9" i="4"/>
  <c r="AL8" i="4"/>
  <c r="AK8" i="4"/>
  <c r="AJ8" i="4"/>
  <c r="AI8" i="4"/>
  <c r="AH8" i="4"/>
  <c r="B8" i="4"/>
  <c r="A8" i="4"/>
  <c r="AL7" i="4"/>
  <c r="AK7" i="4"/>
  <c r="AJ7" i="4"/>
  <c r="AI7" i="4"/>
  <c r="AM7" i="4" s="1"/>
  <c r="AH7" i="4"/>
  <c r="B7" i="4"/>
  <c r="A7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J4" i="4"/>
  <c r="I4" i="4"/>
  <c r="F5" i="2"/>
  <c r="F4" i="2"/>
  <c r="F3" i="2"/>
  <c r="F2" i="2"/>
  <c r="AM8" i="4" l="1"/>
</calcChain>
</file>

<file path=xl/sharedStrings.xml><?xml version="1.0" encoding="utf-8"?>
<sst xmlns="http://schemas.openxmlformats.org/spreadsheetml/2006/main" count="108" uniqueCount="67">
  <si>
    <t>Mitarbeiter</t>
  </si>
  <si>
    <t>Rolle</t>
  </si>
  <si>
    <t>Soll-Stunden/Monat</t>
  </si>
  <si>
    <t>Einstellungsdatum</t>
  </si>
  <si>
    <t>Notizen</t>
  </si>
  <si>
    <t>Anna Müller</t>
  </si>
  <si>
    <t>Erzieher/in</t>
  </si>
  <si>
    <t>Ben Schneider</t>
  </si>
  <si>
    <t>Clara Vogel</t>
  </si>
  <si>
    <t>Assistenz</t>
  </si>
  <si>
    <t>David Klein</t>
  </si>
  <si>
    <t>Emma Fischer</t>
  </si>
  <si>
    <t>Praktikant/in</t>
  </si>
  <si>
    <t>Felix Bauer</t>
  </si>
  <si>
    <t>Leitung</t>
  </si>
  <si>
    <t>Code</t>
  </si>
  <si>
    <t>Bezeichnung</t>
  </si>
  <si>
    <t>Start</t>
  </si>
  <si>
    <t>Ende</t>
  </si>
  <si>
    <t>Pause_min</t>
  </si>
  <si>
    <t>Stunden_bezahlt</t>
  </si>
  <si>
    <t>FarbeHex</t>
  </si>
  <si>
    <t>F</t>
  </si>
  <si>
    <t>Frühdienst</t>
  </si>
  <si>
    <t>07:00</t>
  </si>
  <si>
    <t>13:00</t>
  </si>
  <si>
    <t>#D9EAD3</t>
  </si>
  <si>
    <t>M</t>
  </si>
  <si>
    <t>Mittel</t>
  </si>
  <si>
    <t>09:00</t>
  </si>
  <si>
    <t>15:00</t>
  </si>
  <si>
    <t>#CFE2F3</t>
  </si>
  <si>
    <t>S</t>
  </si>
  <si>
    <t>Spätdienst</t>
  </si>
  <si>
    <t>12:00</t>
  </si>
  <si>
    <t>18:00</t>
  </si>
  <si>
    <t>#FCE5CD</t>
  </si>
  <si>
    <t>N</t>
  </si>
  <si>
    <t>Notdienst</t>
  </si>
  <si>
    <t>08:00</t>
  </si>
  <si>
    <t>#FFF2CC</t>
  </si>
  <si>
    <t>U</t>
  </si>
  <si>
    <t>Urlaub</t>
  </si>
  <si>
    <t>#EEEEEE</t>
  </si>
  <si>
    <t>K</t>
  </si>
  <si>
    <t>Krank</t>
  </si>
  <si>
    <t>FORT</t>
  </si>
  <si>
    <t>Fortbildung</t>
  </si>
  <si>
    <t>A</t>
  </si>
  <si>
    <t>Abwesend</t>
  </si>
  <si>
    <t>Datum</t>
  </si>
  <si>
    <t>Kita-Tag</t>
  </si>
  <si>
    <t>Interner Fortbildungstag</t>
  </si>
  <si>
    <t>Dienstplan – Monat</t>
  </si>
  <si>
    <t>Monat (1. Tag)</t>
  </si>
  <si>
    <t>Soll-Besetzung</t>
  </si>
  <si>
    <t>Legende (Schichten)</t>
  </si>
  <si>
    <t>Früh</t>
  </si>
  <si>
    <t>Mitte</t>
  </si>
  <si>
    <t>Spät</t>
  </si>
  <si>
    <t>Farbe</t>
  </si>
  <si>
    <t>Hinweis: Spalten nach dem Monatsende können leer bleiben.</t>
  </si>
  <si>
    <t>Schicht-Stunden</t>
  </si>
  <si>
    <t>Summe Absenzen</t>
  </si>
  <si>
    <t>Tagessumme</t>
  </si>
  <si>
    <t>Stunden gesamt</t>
  </si>
  <si>
    <t>Deckung Früh/Mitte/Spät/Notdienst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</si>
</sst>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hh:mm"/>
    <numFmt numFmtId="166" formatCode="d\-m;@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484E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0" fillId="0" borderId="0" xfId="0" applyNumberFormat="1"/>
    <xf numFmtId="0" fontId="0" fillId="0" borderId="0" xfId="0" applyAlignment="1">
      <alignment horizontal="left" vertical="center"/>
    </xf>
    <xf numFmtId="2" fontId="0" fillId="0" borderId="1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6" fontId="0" fillId="0" borderId="0" xfId="0" applyNumberFormat="1"/>
    <xf numFmtId="0" fontId="2" fillId="2" borderId="0" xfId="0" applyFont="1" applyFill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3">
    <dxf>
      <fill>
        <patternFill patternType="solid">
          <fgColor rgb="FFF8D7DA"/>
        </patternFill>
      </fill>
    </dxf>
    <dxf>
      <fill>
        <patternFill patternType="solid">
          <fgColor rgb="FFFFF5D6"/>
        </patternFill>
      </fill>
    </dxf>
    <dxf>
      <fill>
        <patternFill patternType="solid">
          <fgColor rgb="FFF2F2F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6"/>
  <sheetViews>
    <sheetView tabSelected="1" workbookViewId="0">
      <pane xSplit="2" ySplit="6" topLeftCell="C7" activePane="bottomRight" state="frozen"/>
      <selection pane="topRight"/>
      <selection pane="bottomLeft"/>
      <selection pane="bottomRight" activeCell="G8" sqref="G8"/>
    </sheetView>
  </sheetViews>
  <sheetFormatPr baseColWidth="10" defaultColWidth="9.140625" defaultRowHeight="15" x14ac:dyDescent="0.25"/>
  <cols>
    <col min="1" max="1" width="56.5703125" bestFit="1" customWidth="1"/>
    <col min="2" max="2" width="12.5703125" bestFit="1" customWidth="1"/>
    <col min="3" max="6" width="7" bestFit="1" customWidth="1"/>
    <col min="7" max="7" width="9.85546875" bestFit="1" customWidth="1"/>
    <col min="8" max="9" width="7" bestFit="1" customWidth="1"/>
    <col min="10" max="10" width="10.5703125" bestFit="1" customWidth="1"/>
    <col min="11" max="33" width="7" bestFit="1" customWidth="1"/>
    <col min="34" max="34" width="8.42578125" bestFit="1" customWidth="1"/>
    <col min="35" max="35" width="2.42578125" bestFit="1" customWidth="1"/>
    <col min="36" max="36" width="2.140625" bestFit="1" customWidth="1"/>
    <col min="37" max="37" width="5.5703125" bestFit="1" customWidth="1"/>
    <col min="38" max="38" width="2.28515625" bestFit="1" customWidth="1"/>
    <col min="39" max="39" width="9.7109375" bestFit="1" customWidth="1"/>
  </cols>
  <sheetData>
    <row r="1" spans="1:39" ht="26.1" customHeight="1" x14ac:dyDescent="0.25">
      <c r="B1" s="18" t="s">
        <v>53</v>
      </c>
      <c r="C1" s="19"/>
      <c r="D1" s="19"/>
      <c r="E1" s="19"/>
      <c r="F1" s="19"/>
      <c r="G1" s="19"/>
      <c r="H1" s="19"/>
    </row>
    <row r="2" spans="1:39" x14ac:dyDescent="0.25">
      <c r="A2" s="9" t="s">
        <v>54</v>
      </c>
      <c r="B2" s="10">
        <v>45901</v>
      </c>
      <c r="D2" s="20" t="s">
        <v>55</v>
      </c>
      <c r="E2" s="20"/>
      <c r="F2" s="20"/>
      <c r="G2" s="20"/>
      <c r="H2" s="20"/>
      <c r="I2" s="20" t="s">
        <v>56</v>
      </c>
      <c r="J2" s="20"/>
      <c r="K2" s="20"/>
    </row>
    <row r="3" spans="1:39" ht="30" x14ac:dyDescent="0.25">
      <c r="D3" s="8" t="s">
        <v>57</v>
      </c>
      <c r="E3" s="8" t="s">
        <v>58</v>
      </c>
      <c r="F3" s="8" t="s">
        <v>59</v>
      </c>
      <c r="G3" s="8" t="s">
        <v>38</v>
      </c>
      <c r="I3" s="8" t="s">
        <v>15</v>
      </c>
      <c r="J3" s="8" t="s">
        <v>16</v>
      </c>
      <c r="K3" s="8" t="s">
        <v>60</v>
      </c>
    </row>
    <row r="4" spans="1:39" x14ac:dyDescent="0.25">
      <c r="A4" s="11" t="s">
        <v>61</v>
      </c>
      <c r="D4" s="8">
        <v>2</v>
      </c>
      <c r="E4" s="8">
        <v>2</v>
      </c>
      <c r="F4" s="8">
        <v>2</v>
      </c>
      <c r="G4" s="8">
        <v>0</v>
      </c>
      <c r="I4" s="5" t="str">
        <f>Schichten!A2</f>
        <v>F</v>
      </c>
      <c r="J4" s="5" t="str">
        <f>Schichten!B2</f>
        <v>Frühdienst</v>
      </c>
      <c r="K4" s="5"/>
    </row>
    <row r="5" spans="1:39" x14ac:dyDescent="0.25">
      <c r="A5" t="s">
        <v>50</v>
      </c>
      <c r="C5" s="17">
        <f>DATE(YEAR($B$2),MONTH($B$2),1)</f>
        <v>45901</v>
      </c>
      <c r="D5" s="17">
        <f>DATE(YEAR($B$2),MONTH($B$2),2)</f>
        <v>45902</v>
      </c>
      <c r="E5" s="17">
        <f>DATE(YEAR($B$2),MONTH($B$2),3)</f>
        <v>45903</v>
      </c>
      <c r="F5" s="17">
        <f>DATE(YEAR($B$2),MONTH($B$2),4)</f>
        <v>45904</v>
      </c>
      <c r="G5" s="17">
        <f>DATE(YEAR($B$2),MONTH($B$2),5)</f>
        <v>45905</v>
      </c>
      <c r="H5" s="17">
        <f>DATE(YEAR($B$2),MONTH($B$2),6)</f>
        <v>45906</v>
      </c>
      <c r="I5" s="17">
        <f>DATE(YEAR($B$2),MONTH($B$2),7)</f>
        <v>45907</v>
      </c>
      <c r="J5" s="17">
        <f>DATE(YEAR($B$2),MONTH($B$2),8)</f>
        <v>45908</v>
      </c>
      <c r="K5" s="17">
        <f>DATE(YEAR($B$2),MONTH($B$2),9)</f>
        <v>45909</v>
      </c>
      <c r="L5" s="17">
        <f>DATE(YEAR($B$2),MONTH($B$2),10)</f>
        <v>45910</v>
      </c>
      <c r="M5" s="17">
        <f>DATE(YEAR($B$2),MONTH($B$2),11)</f>
        <v>45911</v>
      </c>
      <c r="N5" s="17">
        <f>DATE(YEAR($B$2),MONTH($B$2),12)</f>
        <v>45912</v>
      </c>
      <c r="O5" s="17">
        <f>DATE(YEAR($B$2),MONTH($B$2),13)</f>
        <v>45913</v>
      </c>
      <c r="P5" s="17">
        <f>DATE(YEAR($B$2),MONTH($B$2),14)</f>
        <v>45914</v>
      </c>
      <c r="Q5" s="17">
        <f>DATE(YEAR($B$2),MONTH($B$2),15)</f>
        <v>45915</v>
      </c>
      <c r="R5" s="17">
        <f>DATE(YEAR($B$2),MONTH($B$2),16)</f>
        <v>45916</v>
      </c>
      <c r="S5" s="17">
        <f>DATE(YEAR($B$2),MONTH($B$2),17)</f>
        <v>45917</v>
      </c>
      <c r="T5" s="17">
        <f>DATE(YEAR($B$2),MONTH($B$2),18)</f>
        <v>45918</v>
      </c>
      <c r="U5" s="17">
        <f>DATE(YEAR($B$2),MONTH($B$2),19)</f>
        <v>45919</v>
      </c>
      <c r="V5" s="17">
        <f>DATE(YEAR($B$2),MONTH($B$2),20)</f>
        <v>45920</v>
      </c>
      <c r="W5" s="17">
        <f>DATE(YEAR($B$2),MONTH($B$2),21)</f>
        <v>45921</v>
      </c>
      <c r="X5" s="17">
        <f>DATE(YEAR($B$2),MONTH($B$2),22)</f>
        <v>45922</v>
      </c>
      <c r="Y5" s="17">
        <f>DATE(YEAR($B$2),MONTH($B$2),23)</f>
        <v>45923</v>
      </c>
      <c r="Z5" s="17">
        <f>DATE(YEAR($B$2),MONTH($B$2),24)</f>
        <v>45924</v>
      </c>
      <c r="AA5" s="17">
        <f>DATE(YEAR($B$2),MONTH($B$2),25)</f>
        <v>45925</v>
      </c>
      <c r="AB5" s="17">
        <f>DATE(YEAR($B$2),MONTH($B$2),26)</f>
        <v>45926</v>
      </c>
      <c r="AC5" s="17">
        <f>DATE(YEAR($B$2),MONTH($B$2),27)</f>
        <v>45927</v>
      </c>
      <c r="AD5" s="17">
        <f>DATE(YEAR($B$2),MONTH($B$2),28)</f>
        <v>45928</v>
      </c>
      <c r="AE5" s="17">
        <f>DATE(YEAR($B$2),MONTH($B$2),29)</f>
        <v>45929</v>
      </c>
      <c r="AF5" s="17">
        <f>DATE(YEAR($B$2),MONTH($B$2),30)</f>
        <v>45930</v>
      </c>
      <c r="AG5" s="17">
        <f>DATE(YEAR($B$2),MONTH($B$2),31)</f>
        <v>45931</v>
      </c>
    </row>
    <row r="6" spans="1:39" ht="32.1" customHeight="1" x14ac:dyDescent="0.25">
      <c r="A6" s="1" t="s">
        <v>0</v>
      </c>
      <c r="B6" s="1" t="s">
        <v>1</v>
      </c>
      <c r="C6" s="1" t="str">
        <f>TEXT(DATE(YEAR($B$2),MONTH($B$2),1),"dd")&amp;CHAR(10)&amp;TEXT(DATE(YEAR($B$2),MONTH($B$2),1),"ddd")</f>
        <v>01
lu</v>
      </c>
      <c r="D6" s="1" t="str">
        <f>TEXT(DATE(YEAR($B$2),MONTH($B$2),2),"dd")&amp;CHAR(10)&amp;TEXT(DATE(YEAR($B$2),MONTH($B$2),2),"ddd")</f>
        <v>02
ma</v>
      </c>
      <c r="E6" s="1" t="str">
        <f>TEXT(DATE(YEAR($B$2),MONTH($B$2),3),"dd")&amp;CHAR(10)&amp;TEXT(DATE(YEAR($B$2),MONTH($B$2),3),"ddd")</f>
        <v>03
mi</v>
      </c>
      <c r="F6" s="1" t="str">
        <f>TEXT(DATE(YEAR($B$2),MONTH($B$2),4),"dd")&amp;CHAR(10)&amp;TEXT(DATE(YEAR($B$2),MONTH($B$2),4),"ddd")</f>
        <v>04
ju</v>
      </c>
      <c r="G6" s="1" t="str">
        <f>TEXT(DATE(YEAR($B$2),MONTH($B$2),5),"dd")&amp;CHAR(10)&amp;TEXT(DATE(YEAR($B$2),MONTH($B$2),5),"ddd")</f>
        <v>05
vi</v>
      </c>
      <c r="H6" s="1" t="str">
        <f>TEXT(DATE(YEAR($B$2),MONTH($B$2),6),"dd")&amp;CHAR(10)&amp;TEXT(DATE(YEAR($B$2),MONTH($B$2),6),"ddd")</f>
        <v>06
sá</v>
      </c>
      <c r="I6" s="1" t="str">
        <f>TEXT(DATE(YEAR($B$2),MONTH($B$2),7),"dd")&amp;CHAR(10)&amp;TEXT(DATE(YEAR($B$2),MONTH($B$2),7),"ddd")</f>
        <v>07
do</v>
      </c>
      <c r="J6" s="1" t="str">
        <f>TEXT(DATE(YEAR($B$2),MONTH($B$2),8),"dd")&amp;CHAR(10)&amp;TEXT(DATE(YEAR($B$2),MONTH($B$2),8),"ddd")</f>
        <v>08
lu</v>
      </c>
      <c r="K6" s="1" t="str">
        <f>TEXT(DATE(YEAR($B$2),MONTH($B$2),9),"dd")&amp;CHAR(10)&amp;TEXT(DATE(YEAR($B$2),MONTH($B$2),9),"ddd")</f>
        <v>09
ma</v>
      </c>
      <c r="L6" s="1" t="str">
        <f>TEXT(DATE(YEAR($B$2),MONTH($B$2),10),"dd")&amp;CHAR(10)&amp;TEXT(DATE(YEAR($B$2),MONTH($B$2),10),"ddd")</f>
        <v>10
mi</v>
      </c>
      <c r="M6" s="1" t="str">
        <f>TEXT(DATE(YEAR($B$2),MONTH($B$2),11),"dd")&amp;CHAR(10)&amp;TEXT(DATE(YEAR($B$2),MONTH($B$2),11),"ddd")</f>
        <v>11
ju</v>
      </c>
      <c r="N6" s="1" t="str">
        <f>TEXT(DATE(YEAR($B$2),MONTH($B$2),12),"dd")&amp;CHAR(10)&amp;TEXT(DATE(YEAR($B$2),MONTH($B$2),12),"ddd")</f>
        <v>12
vi</v>
      </c>
      <c r="O6" s="1" t="str">
        <f>TEXT(DATE(YEAR($B$2),MONTH($B$2),13),"dd")&amp;CHAR(10)&amp;TEXT(DATE(YEAR($B$2),MONTH($B$2),13),"ddd")</f>
        <v>13
sá</v>
      </c>
      <c r="P6" s="1" t="str">
        <f>TEXT(DATE(YEAR($B$2),MONTH($B$2),14),"dd")&amp;CHAR(10)&amp;TEXT(DATE(YEAR($B$2),MONTH($B$2),14),"ddd")</f>
        <v>14
do</v>
      </c>
      <c r="Q6" s="1" t="str">
        <f>TEXT(DATE(YEAR($B$2),MONTH($B$2),15),"dd")&amp;CHAR(10)&amp;TEXT(DATE(YEAR($B$2),MONTH($B$2),15),"ddd")</f>
        <v>15
lu</v>
      </c>
      <c r="R6" s="1" t="str">
        <f>TEXT(DATE(YEAR($B$2),MONTH($B$2),16),"dd")&amp;CHAR(10)&amp;TEXT(DATE(YEAR($B$2),MONTH($B$2),16),"ddd")</f>
        <v>16
ma</v>
      </c>
      <c r="S6" s="1" t="str">
        <f>TEXT(DATE(YEAR($B$2),MONTH($B$2),17),"dd")&amp;CHAR(10)&amp;TEXT(DATE(YEAR($B$2),MONTH($B$2),17),"ddd")</f>
        <v>17
mi</v>
      </c>
      <c r="T6" s="1" t="str">
        <f>TEXT(DATE(YEAR($B$2),MONTH($B$2),18),"dd")&amp;CHAR(10)&amp;TEXT(DATE(YEAR($B$2),MONTH($B$2),18),"ddd")</f>
        <v>18
ju</v>
      </c>
      <c r="U6" s="1" t="str">
        <f>TEXT(DATE(YEAR($B$2),MONTH($B$2),19),"dd")&amp;CHAR(10)&amp;TEXT(DATE(YEAR($B$2),MONTH($B$2),19),"ddd")</f>
        <v>19
vi</v>
      </c>
      <c r="V6" s="1" t="str">
        <f>TEXT(DATE(YEAR($B$2),MONTH($B$2),20),"dd")&amp;CHAR(10)&amp;TEXT(DATE(YEAR($B$2),MONTH($B$2),20),"ddd")</f>
        <v>20
sá</v>
      </c>
      <c r="W6" s="1" t="str">
        <f>TEXT(DATE(YEAR($B$2),MONTH($B$2),21),"dd")&amp;CHAR(10)&amp;TEXT(DATE(YEAR($B$2),MONTH($B$2),21),"ddd")</f>
        <v>21
do</v>
      </c>
      <c r="X6" s="1" t="str">
        <f>TEXT(DATE(YEAR($B$2),MONTH($B$2),22),"dd")&amp;CHAR(10)&amp;TEXT(DATE(YEAR($B$2),MONTH($B$2),22),"ddd")</f>
        <v>22
lu</v>
      </c>
      <c r="Y6" s="1" t="str">
        <f>TEXT(DATE(YEAR($B$2),MONTH($B$2),23),"dd")&amp;CHAR(10)&amp;TEXT(DATE(YEAR($B$2),MONTH($B$2),23),"ddd")</f>
        <v>23
ma</v>
      </c>
      <c r="Z6" s="1" t="str">
        <f>TEXT(DATE(YEAR($B$2),MONTH($B$2),24),"dd")&amp;CHAR(10)&amp;TEXT(DATE(YEAR($B$2),MONTH($B$2),24),"ddd")</f>
        <v>24
mi</v>
      </c>
      <c r="AA6" s="1" t="str">
        <f>TEXT(DATE(YEAR($B$2),MONTH($B$2),25),"dd")&amp;CHAR(10)&amp;TEXT(DATE(YEAR($B$2),MONTH($B$2),25),"ddd")</f>
        <v>25
ju</v>
      </c>
      <c r="AB6" s="1" t="str">
        <f>TEXT(DATE(YEAR($B$2),MONTH($B$2),26),"dd")&amp;CHAR(10)&amp;TEXT(DATE(YEAR($B$2),MONTH($B$2),26),"ddd")</f>
        <v>26
vi</v>
      </c>
      <c r="AC6" s="1" t="str">
        <f>TEXT(DATE(YEAR($B$2),MONTH($B$2),27),"dd")&amp;CHAR(10)&amp;TEXT(DATE(YEAR($B$2),MONTH($B$2),27),"ddd")</f>
        <v>27
sá</v>
      </c>
      <c r="AD6" s="1" t="str">
        <f>TEXT(DATE(YEAR($B$2),MONTH($B$2),28),"dd")&amp;CHAR(10)&amp;TEXT(DATE(YEAR($B$2),MONTH($B$2),28),"ddd")</f>
        <v>28
do</v>
      </c>
      <c r="AE6" s="1" t="str">
        <f>TEXT(DATE(YEAR($B$2),MONTH($B$2),29),"dd")&amp;CHAR(10)&amp;TEXT(DATE(YEAR($B$2),MONTH($B$2),29),"ddd")</f>
        <v>29
lu</v>
      </c>
      <c r="AF6" s="1" t="str">
        <f>TEXT(DATE(YEAR($B$2),MONTH($B$2),30),"dd")&amp;CHAR(10)&amp;TEXT(DATE(YEAR($B$2),MONTH($B$2),30),"ddd")</f>
        <v>30
ma</v>
      </c>
      <c r="AG6" s="1" t="str">
        <f>TEXT(DATE(YEAR($B$2),MONTH($B$2),31),"dd")&amp;CHAR(10)&amp;TEXT(DATE(YEAR($B$2),MONTH($B$2),31),"ddd")</f>
        <v>01
mi</v>
      </c>
      <c r="AH6" s="1" t="s">
        <v>62</v>
      </c>
      <c r="AI6" s="1" t="s">
        <v>41</v>
      </c>
      <c r="AJ6" s="1" t="s">
        <v>44</v>
      </c>
      <c r="AK6" s="1" t="s">
        <v>46</v>
      </c>
      <c r="AL6" s="1" t="s">
        <v>48</v>
      </c>
      <c r="AM6" s="1" t="s">
        <v>63</v>
      </c>
    </row>
    <row r="7" spans="1:39" x14ac:dyDescent="0.25">
      <c r="A7" s="5" t="str">
        <f>Mitarbeiter!A2</f>
        <v>Anna Müller</v>
      </c>
      <c r="B7" s="5" t="str">
        <f>Mitarbeiter!B2</f>
        <v>Erzieher/in</v>
      </c>
      <c r="C7" s="8" t="s">
        <v>22</v>
      </c>
      <c r="D7" s="8" t="s">
        <v>22</v>
      </c>
      <c r="E7" s="8" t="s">
        <v>27</v>
      </c>
      <c r="F7" s="8" t="s">
        <v>32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12">
        <f ca="1">SUM(IFERROR(_xludf.XLOOKUP(C7:AG7,Schichten!$A$2:$A$9,Schichten!$F$2:$F$9),0))</f>
        <v>0</v>
      </c>
      <c r="AI7" s="13">
        <f t="shared" ref="AI7:AI12" si="0">COUNTIF(C7:AG7,"U")</f>
        <v>0</v>
      </c>
      <c r="AJ7" s="13">
        <f t="shared" ref="AJ7:AJ12" si="1">COUNTIF(C7:AG7,"K")</f>
        <v>0</v>
      </c>
      <c r="AK7" s="13">
        <f t="shared" ref="AK7:AK12" si="2">COUNTIF(C7:AG7,"FORT")</f>
        <v>0</v>
      </c>
      <c r="AL7" s="13">
        <f t="shared" ref="AL7:AL12" si="3">COUNTIF(C7:AG7,"A")</f>
        <v>0</v>
      </c>
      <c r="AM7" s="13">
        <f t="shared" ref="AM7:AM12" si="4">SUM(AI7:AL7)</f>
        <v>0</v>
      </c>
    </row>
    <row r="8" spans="1:39" x14ac:dyDescent="0.25">
      <c r="A8" s="5" t="str">
        <f>Mitarbeiter!A3</f>
        <v>Ben Schneider</v>
      </c>
      <c r="B8" s="5" t="str">
        <f>Mitarbeiter!B3</f>
        <v>Erzieher/in</v>
      </c>
      <c r="C8" s="8" t="s">
        <v>27</v>
      </c>
      <c r="D8" s="8" t="s">
        <v>27</v>
      </c>
      <c r="E8" s="8" t="s">
        <v>32</v>
      </c>
      <c r="F8" s="8" t="s">
        <v>22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12">
        <f ca="1">SUM(IFERROR(_xludf.XLOOKUP(C8:AG8,Schichten!$A$2:$A$9,Schichten!$F$2:$F$9),0))</f>
        <v>0</v>
      </c>
      <c r="AI8" s="13">
        <f t="shared" si="0"/>
        <v>0</v>
      </c>
      <c r="AJ8" s="13">
        <f t="shared" si="1"/>
        <v>0</v>
      </c>
      <c r="AK8" s="13">
        <f t="shared" si="2"/>
        <v>0</v>
      </c>
      <c r="AL8" s="13">
        <f t="shared" si="3"/>
        <v>0</v>
      </c>
      <c r="AM8" s="13">
        <f t="shared" si="4"/>
        <v>0</v>
      </c>
    </row>
    <row r="9" spans="1:39" x14ac:dyDescent="0.25">
      <c r="A9" s="5" t="str">
        <f>Mitarbeiter!A4</f>
        <v>Clara Vogel</v>
      </c>
      <c r="B9" s="5" t="str">
        <f>Mitarbeiter!B4</f>
        <v>Assistenz</v>
      </c>
      <c r="C9" s="8" t="s">
        <v>32</v>
      </c>
      <c r="D9" s="8" t="s">
        <v>32</v>
      </c>
      <c r="E9" s="8" t="s">
        <v>22</v>
      </c>
      <c r="F9" s="8" t="s">
        <v>27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12">
        <f ca="1">SUM(IFERROR(_xludf.XLOOKUP(C9:AG9,Schichten!$A$2:$A$9,Schichten!$F$2:$F$9),0))</f>
        <v>0</v>
      </c>
      <c r="AI9" s="13">
        <f t="shared" si="0"/>
        <v>0</v>
      </c>
      <c r="AJ9" s="13">
        <f t="shared" si="1"/>
        <v>0</v>
      </c>
      <c r="AK9" s="13">
        <f t="shared" si="2"/>
        <v>0</v>
      </c>
      <c r="AL9" s="13">
        <f t="shared" si="3"/>
        <v>0</v>
      </c>
      <c r="AM9" s="13">
        <f t="shared" si="4"/>
        <v>0</v>
      </c>
    </row>
    <row r="10" spans="1:39" x14ac:dyDescent="0.25">
      <c r="A10" s="5" t="str">
        <f>Mitarbeiter!A5</f>
        <v>David Klein</v>
      </c>
      <c r="B10" s="5" t="str">
        <f>Mitarbeiter!B5</f>
        <v>Erzieher/in</v>
      </c>
      <c r="C10" s="8" t="s">
        <v>22</v>
      </c>
      <c r="D10" s="8" t="s">
        <v>22</v>
      </c>
      <c r="E10" s="8" t="s">
        <v>27</v>
      </c>
      <c r="F10" s="8" t="s">
        <v>32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12">
        <f ca="1">SUM(IFERROR(_xludf.XLOOKUP(C10:AG10,Schichten!$A$2:$A$9,Schichten!$F$2:$F$9),0))</f>
        <v>0</v>
      </c>
      <c r="AI10" s="13">
        <f t="shared" si="0"/>
        <v>0</v>
      </c>
      <c r="AJ10" s="13">
        <f t="shared" si="1"/>
        <v>0</v>
      </c>
      <c r="AK10" s="13">
        <f t="shared" si="2"/>
        <v>0</v>
      </c>
      <c r="AL10" s="13">
        <f t="shared" si="3"/>
        <v>0</v>
      </c>
      <c r="AM10" s="13">
        <f t="shared" si="4"/>
        <v>0</v>
      </c>
    </row>
    <row r="11" spans="1:39" ht="30" x14ac:dyDescent="0.25">
      <c r="A11" s="5" t="str">
        <f>Mitarbeiter!A6</f>
        <v>Emma Fischer</v>
      </c>
      <c r="B11" s="5" t="str">
        <f>Mitarbeiter!B6</f>
        <v>Praktikant/in</v>
      </c>
      <c r="C11" s="8" t="s">
        <v>41</v>
      </c>
      <c r="D11" s="8" t="s">
        <v>41</v>
      </c>
      <c r="E11" s="8" t="s">
        <v>44</v>
      </c>
      <c r="F11" s="8" t="s">
        <v>46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12">
        <f ca="1">SUM(IFERROR(_xludf.XLOOKUP(C11:AG11,Schichten!$A$2:$A$9,Schichten!$F$2:$F$9),0))</f>
        <v>0</v>
      </c>
      <c r="AI11" s="13">
        <f t="shared" si="0"/>
        <v>2</v>
      </c>
      <c r="AJ11" s="13">
        <f t="shared" si="1"/>
        <v>1</v>
      </c>
      <c r="AK11" s="13">
        <f t="shared" si="2"/>
        <v>1</v>
      </c>
      <c r="AL11" s="13">
        <f t="shared" si="3"/>
        <v>0</v>
      </c>
      <c r="AM11" s="13">
        <f t="shared" si="4"/>
        <v>4</v>
      </c>
    </row>
    <row r="12" spans="1:39" x14ac:dyDescent="0.25">
      <c r="A12" s="5" t="str">
        <f>Mitarbeiter!A7</f>
        <v>Felix Bauer</v>
      </c>
      <c r="B12" s="5" t="str">
        <f>Mitarbeiter!B7</f>
        <v>Leitung</v>
      </c>
      <c r="C12" s="8" t="s">
        <v>27</v>
      </c>
      <c r="D12" s="8" t="s">
        <v>27</v>
      </c>
      <c r="E12" s="8" t="s">
        <v>32</v>
      </c>
      <c r="F12" s="8" t="s">
        <v>22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12">
        <f ca="1">SUM(IFERROR(_xludf.XLOOKUP(C12:AG12,Schichten!$A$2:$A$9,Schichten!$F$2:$F$9),0))</f>
        <v>0</v>
      </c>
      <c r="AI12" s="13">
        <f t="shared" si="0"/>
        <v>0</v>
      </c>
      <c r="AJ12" s="13">
        <f t="shared" si="1"/>
        <v>0</v>
      </c>
      <c r="AK12" s="13">
        <f t="shared" si="2"/>
        <v>0</v>
      </c>
      <c r="AL12" s="13">
        <f t="shared" si="3"/>
        <v>0</v>
      </c>
      <c r="AM12" s="13">
        <f t="shared" si="4"/>
        <v>0</v>
      </c>
    </row>
    <row r="13" spans="1:39" x14ac:dyDescent="0.25">
      <c r="A13" s="14" t="s">
        <v>64</v>
      </c>
      <c r="B13" s="2"/>
      <c r="C13" s="15">
        <f t="shared" ref="C13:AG13" si="5">COUNTIF(C7:C12,"F")+COUNTIF(C7:C12,"M")+COUNTIF(C7:C12,"S")+COUNTIF(C7:C12,"N")</f>
        <v>5</v>
      </c>
      <c r="D13" s="15">
        <f t="shared" si="5"/>
        <v>5</v>
      </c>
      <c r="E13" s="15">
        <f t="shared" si="5"/>
        <v>5</v>
      </c>
      <c r="F13" s="15">
        <f t="shared" si="5"/>
        <v>5</v>
      </c>
      <c r="G13" s="15">
        <f t="shared" si="5"/>
        <v>0</v>
      </c>
      <c r="H13" s="15">
        <f t="shared" si="5"/>
        <v>0</v>
      </c>
      <c r="I13" s="15">
        <f t="shared" si="5"/>
        <v>0</v>
      </c>
      <c r="J13" s="15">
        <f t="shared" si="5"/>
        <v>0</v>
      </c>
      <c r="K13" s="15">
        <f t="shared" si="5"/>
        <v>0</v>
      </c>
      <c r="L13" s="15">
        <f t="shared" si="5"/>
        <v>0</v>
      </c>
      <c r="M13" s="15">
        <f t="shared" si="5"/>
        <v>0</v>
      </c>
      <c r="N13" s="15">
        <f t="shared" si="5"/>
        <v>0</v>
      </c>
      <c r="O13" s="15">
        <f t="shared" si="5"/>
        <v>0</v>
      </c>
      <c r="P13" s="15">
        <f t="shared" si="5"/>
        <v>0</v>
      </c>
      <c r="Q13" s="15">
        <f t="shared" si="5"/>
        <v>0</v>
      </c>
      <c r="R13" s="15">
        <f t="shared" si="5"/>
        <v>0</v>
      </c>
      <c r="S13" s="15">
        <f t="shared" si="5"/>
        <v>0</v>
      </c>
      <c r="T13" s="15">
        <f t="shared" si="5"/>
        <v>0</v>
      </c>
      <c r="U13" s="15">
        <f t="shared" si="5"/>
        <v>0</v>
      </c>
      <c r="V13" s="15">
        <f t="shared" si="5"/>
        <v>0</v>
      </c>
      <c r="W13" s="15">
        <f t="shared" si="5"/>
        <v>0</v>
      </c>
      <c r="X13" s="15">
        <f t="shared" si="5"/>
        <v>0</v>
      </c>
      <c r="Y13" s="15">
        <f t="shared" si="5"/>
        <v>0</v>
      </c>
      <c r="Z13" s="15">
        <f t="shared" si="5"/>
        <v>0</v>
      </c>
      <c r="AA13" s="15">
        <f t="shared" si="5"/>
        <v>0</v>
      </c>
      <c r="AB13" s="15">
        <f t="shared" si="5"/>
        <v>0</v>
      </c>
      <c r="AC13" s="15">
        <f t="shared" si="5"/>
        <v>0</v>
      </c>
      <c r="AD13" s="15">
        <f t="shared" si="5"/>
        <v>0</v>
      </c>
      <c r="AE13" s="15">
        <f t="shared" si="5"/>
        <v>0</v>
      </c>
      <c r="AF13" s="15">
        <f t="shared" si="5"/>
        <v>0</v>
      </c>
      <c r="AG13" s="15">
        <f t="shared" si="5"/>
        <v>0</v>
      </c>
    </row>
    <row r="14" spans="1:39" x14ac:dyDescent="0.25">
      <c r="A14" s="14" t="s">
        <v>65</v>
      </c>
      <c r="B14" s="2"/>
      <c r="C14" s="16">
        <f ca="1">SUM(IFERROR(_xludf.XLOOKUP(C7:C12,Schichten!$A$2:$A$9,Schichten!$F$2:$F$9),0))</f>
        <v>0</v>
      </c>
      <c r="D14" s="16">
        <f ca="1">SUM(IFERROR(_xludf.XLOOKUP(D7:D12,Schichten!$A$2:$A$9,Schichten!$F$2:$F$9),0))</f>
        <v>0</v>
      </c>
      <c r="E14" s="16">
        <f ca="1">SUM(IFERROR(_xludf.XLOOKUP(E7:E12,Schichten!$A$2:$A$9,Schichten!$F$2:$F$9),0))</f>
        <v>0</v>
      </c>
      <c r="F14" s="16">
        <f ca="1">SUM(IFERROR(_xludf.XLOOKUP(F7:F12,Schichten!$A$2:$A$9,Schichten!$F$2:$F$9),0))</f>
        <v>0</v>
      </c>
      <c r="G14" s="16">
        <f ca="1">SUM(IFERROR(_xludf.XLOOKUP(G7:G12,Schichten!$A$2:$A$9,Schichten!$F$2:$F$9),0))</f>
        <v>0</v>
      </c>
      <c r="H14" s="16">
        <f ca="1">SUM(IFERROR(_xludf.XLOOKUP(H7:H12,Schichten!$A$2:$A$9,Schichten!$F$2:$F$9),0))</f>
        <v>0</v>
      </c>
      <c r="I14" s="16">
        <f ca="1">SUM(IFERROR(_xludf.XLOOKUP(I7:I12,Schichten!$A$2:$A$9,Schichten!$F$2:$F$9),0))</f>
        <v>0</v>
      </c>
      <c r="J14" s="16">
        <f ca="1">SUM(IFERROR(_xludf.XLOOKUP(J7:J12,Schichten!$A$2:$A$9,Schichten!$F$2:$F$9),0))</f>
        <v>0</v>
      </c>
      <c r="K14" s="16">
        <f ca="1">SUM(IFERROR(_xludf.XLOOKUP(K7:K12,Schichten!$A$2:$A$9,Schichten!$F$2:$F$9),0))</f>
        <v>0</v>
      </c>
      <c r="L14" s="16">
        <f ca="1">SUM(IFERROR(_xludf.XLOOKUP(L7:L12,Schichten!$A$2:$A$9,Schichten!$F$2:$F$9),0))</f>
        <v>0</v>
      </c>
      <c r="M14" s="16">
        <f ca="1">SUM(IFERROR(_xludf.XLOOKUP(M7:M12,Schichten!$A$2:$A$9,Schichten!$F$2:$F$9),0))</f>
        <v>0</v>
      </c>
      <c r="N14" s="16">
        <f ca="1">SUM(IFERROR(_xludf.XLOOKUP(N7:N12,Schichten!$A$2:$A$9,Schichten!$F$2:$F$9),0))</f>
        <v>0</v>
      </c>
      <c r="O14" s="16">
        <f ca="1">SUM(IFERROR(_xludf.XLOOKUP(O7:O12,Schichten!$A$2:$A$9,Schichten!$F$2:$F$9),0))</f>
        <v>0</v>
      </c>
      <c r="P14" s="16">
        <f ca="1">SUM(IFERROR(_xludf.XLOOKUP(P7:P12,Schichten!$A$2:$A$9,Schichten!$F$2:$F$9),0))</f>
        <v>0</v>
      </c>
      <c r="Q14" s="16">
        <f ca="1">SUM(IFERROR(_xludf.XLOOKUP(Q7:Q12,Schichten!$A$2:$A$9,Schichten!$F$2:$F$9),0))</f>
        <v>0</v>
      </c>
      <c r="R14" s="16">
        <f ca="1">SUM(IFERROR(_xludf.XLOOKUP(R7:R12,Schichten!$A$2:$A$9,Schichten!$F$2:$F$9),0))</f>
        <v>0</v>
      </c>
      <c r="S14" s="16">
        <f ca="1">SUM(IFERROR(_xludf.XLOOKUP(S7:S12,Schichten!$A$2:$A$9,Schichten!$F$2:$F$9),0))</f>
        <v>0</v>
      </c>
      <c r="T14" s="16">
        <f ca="1">SUM(IFERROR(_xludf.XLOOKUP(T7:T12,Schichten!$A$2:$A$9,Schichten!$F$2:$F$9),0))</f>
        <v>0</v>
      </c>
      <c r="U14" s="16">
        <f ca="1">SUM(IFERROR(_xludf.XLOOKUP(U7:U12,Schichten!$A$2:$A$9,Schichten!$F$2:$F$9),0))</f>
        <v>0</v>
      </c>
      <c r="V14" s="16">
        <f ca="1">SUM(IFERROR(_xludf.XLOOKUP(V7:V12,Schichten!$A$2:$A$9,Schichten!$F$2:$F$9),0))</f>
        <v>0</v>
      </c>
      <c r="W14" s="16">
        <f ca="1">SUM(IFERROR(_xludf.XLOOKUP(W7:W12,Schichten!$A$2:$A$9,Schichten!$F$2:$F$9),0))</f>
        <v>0</v>
      </c>
      <c r="X14" s="16">
        <f ca="1">SUM(IFERROR(_xludf.XLOOKUP(X7:X12,Schichten!$A$2:$A$9,Schichten!$F$2:$F$9),0))</f>
        <v>0</v>
      </c>
      <c r="Y14" s="16">
        <f ca="1">SUM(IFERROR(_xludf.XLOOKUP(Y7:Y12,Schichten!$A$2:$A$9,Schichten!$F$2:$F$9),0))</f>
        <v>0</v>
      </c>
      <c r="Z14" s="16">
        <f ca="1">SUM(IFERROR(_xludf.XLOOKUP(Z7:Z12,Schichten!$A$2:$A$9,Schichten!$F$2:$F$9),0))</f>
        <v>0</v>
      </c>
      <c r="AA14" s="16">
        <f ca="1">SUM(IFERROR(_xludf.XLOOKUP(AA7:AA12,Schichten!$A$2:$A$9,Schichten!$F$2:$F$9),0))</f>
        <v>0</v>
      </c>
      <c r="AB14" s="16">
        <f ca="1">SUM(IFERROR(_xludf.XLOOKUP(AB7:AB12,Schichten!$A$2:$A$9,Schichten!$F$2:$F$9),0))</f>
        <v>0</v>
      </c>
      <c r="AC14" s="16">
        <f ca="1">SUM(IFERROR(_xludf.XLOOKUP(AC7:AC12,Schichten!$A$2:$A$9,Schichten!$F$2:$F$9),0))</f>
        <v>0</v>
      </c>
      <c r="AD14" s="16">
        <f ca="1">SUM(IFERROR(_xludf.XLOOKUP(AD7:AD12,Schichten!$A$2:$A$9,Schichten!$F$2:$F$9),0))</f>
        <v>0</v>
      </c>
      <c r="AE14" s="16">
        <f ca="1">SUM(IFERROR(_xludf.XLOOKUP(AE7:AE12,Schichten!$A$2:$A$9,Schichten!$F$2:$F$9),0))</f>
        <v>0</v>
      </c>
      <c r="AF14" s="16">
        <f ca="1">SUM(IFERROR(_xludf.XLOOKUP(AF7:AF12,Schichten!$A$2:$A$9,Schichten!$F$2:$F$9),0))</f>
        <v>0</v>
      </c>
      <c r="AG14" s="16">
        <f ca="1">SUM(IFERROR(_xludf.XLOOKUP(AG7:AG12,Schichten!$A$2:$A$9,Schichten!$F$2:$F$9),0))</f>
        <v>0</v>
      </c>
    </row>
    <row r="16" spans="1:39" x14ac:dyDescent="0.25">
      <c r="A16" s="21" t="s">
        <v>66</v>
      </c>
      <c r="B16" s="19"/>
      <c r="C16" s="8" t="str">
        <f t="shared" ref="C16:AG16" si="6">IF(C13&gt;=SUM($D$4:$G$4),"OK","Fehlt " &amp; SUM($D$4:$G$4)-C13)</f>
        <v>Fehlt 1</v>
      </c>
      <c r="D16" s="8" t="str">
        <f t="shared" si="6"/>
        <v>Fehlt 1</v>
      </c>
      <c r="E16" s="8" t="str">
        <f t="shared" si="6"/>
        <v>Fehlt 1</v>
      </c>
      <c r="F16" s="8" t="str">
        <f t="shared" si="6"/>
        <v>Fehlt 1</v>
      </c>
      <c r="G16" s="8" t="str">
        <f t="shared" si="6"/>
        <v>Fehlt 6</v>
      </c>
      <c r="H16" s="8" t="str">
        <f t="shared" si="6"/>
        <v>Fehlt 6</v>
      </c>
      <c r="I16" s="8" t="str">
        <f t="shared" si="6"/>
        <v>Fehlt 6</v>
      </c>
      <c r="J16" s="8" t="str">
        <f t="shared" si="6"/>
        <v>Fehlt 6</v>
      </c>
      <c r="K16" s="8" t="str">
        <f t="shared" si="6"/>
        <v>Fehlt 6</v>
      </c>
      <c r="L16" s="8" t="str">
        <f t="shared" si="6"/>
        <v>Fehlt 6</v>
      </c>
      <c r="M16" s="8" t="str">
        <f t="shared" si="6"/>
        <v>Fehlt 6</v>
      </c>
      <c r="N16" s="8" t="str">
        <f t="shared" si="6"/>
        <v>Fehlt 6</v>
      </c>
      <c r="O16" s="8" t="str">
        <f t="shared" si="6"/>
        <v>Fehlt 6</v>
      </c>
      <c r="P16" s="8" t="str">
        <f t="shared" si="6"/>
        <v>Fehlt 6</v>
      </c>
      <c r="Q16" s="8" t="str">
        <f t="shared" si="6"/>
        <v>Fehlt 6</v>
      </c>
      <c r="R16" s="8" t="str">
        <f t="shared" si="6"/>
        <v>Fehlt 6</v>
      </c>
      <c r="S16" s="8" t="str">
        <f t="shared" si="6"/>
        <v>Fehlt 6</v>
      </c>
      <c r="T16" s="8" t="str">
        <f t="shared" si="6"/>
        <v>Fehlt 6</v>
      </c>
      <c r="U16" s="8" t="str">
        <f t="shared" si="6"/>
        <v>Fehlt 6</v>
      </c>
      <c r="V16" s="8" t="str">
        <f t="shared" si="6"/>
        <v>Fehlt 6</v>
      </c>
      <c r="W16" s="8" t="str">
        <f t="shared" si="6"/>
        <v>Fehlt 6</v>
      </c>
      <c r="X16" s="8" t="str">
        <f t="shared" si="6"/>
        <v>Fehlt 6</v>
      </c>
      <c r="Y16" s="8" t="str">
        <f t="shared" si="6"/>
        <v>Fehlt 6</v>
      </c>
      <c r="Z16" s="8" t="str">
        <f t="shared" si="6"/>
        <v>Fehlt 6</v>
      </c>
      <c r="AA16" s="8" t="str">
        <f t="shared" si="6"/>
        <v>Fehlt 6</v>
      </c>
      <c r="AB16" s="8" t="str">
        <f t="shared" si="6"/>
        <v>Fehlt 6</v>
      </c>
      <c r="AC16" s="8" t="str">
        <f t="shared" si="6"/>
        <v>Fehlt 6</v>
      </c>
      <c r="AD16" s="8" t="str">
        <f t="shared" si="6"/>
        <v>Fehlt 6</v>
      </c>
      <c r="AE16" s="8" t="str">
        <f t="shared" si="6"/>
        <v>Fehlt 6</v>
      </c>
      <c r="AF16" s="8" t="str">
        <f t="shared" si="6"/>
        <v>Fehlt 6</v>
      </c>
      <c r="AG16" s="8" t="str">
        <f t="shared" si="6"/>
        <v>Fehlt 6</v>
      </c>
    </row>
  </sheetData>
  <mergeCells count="4">
    <mergeCell ref="B1:H1"/>
    <mergeCell ref="D2:H2"/>
    <mergeCell ref="I2:K2"/>
    <mergeCell ref="A16:B16"/>
  </mergeCells>
  <conditionalFormatting sqref="C7:AG16">
    <cfRule type="expression" dxfId="2" priority="1">
      <formula>WEEKDAY(C$5,2)&gt;=6</formula>
    </cfRule>
  </conditionalFormatting>
  <conditionalFormatting sqref="C16:AG16">
    <cfRule type="expression" dxfId="0" priority="3">
      <formula>LEFT(C16,5)="Fehlt"</formula>
    </cfRule>
  </conditionalFormatting>
  <dataValidations count="1">
    <dataValidation type="list" allowBlank="1" showDropDown="1" showInputMessage="1" showErrorMessage="1" sqref="C7:AG12" xr:uid="{00000000-0002-0000-0300-000000000000}">
      <formula1>Codes</formula1>
    </dataValidation>
  </dataValidations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0000000-000E-0000-0300-000002000000}">
            <xm:f>ISNUMBER(MATCH(C$5,Feiertage!$A$2:$A$100,0))</xm:f>
            <x14:dxf>
              <fill>
                <patternFill patternType="solid">
                  <fgColor rgb="FFFFF5D6"/>
                </patternFill>
              </fill>
            </x14:dxf>
          </x14:cfRule>
          <xm:sqref>C7:AG16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workbookViewId="0"/>
  </sheetViews>
  <sheetFormatPr baseColWidth="10" defaultColWidth="9.140625" defaultRowHeight="15" x14ac:dyDescent="0.25"/>
  <cols>
    <col min="1" max="1" width="24" customWidth="1"/>
    <col min="2" max="2" width="18" customWidth="1"/>
    <col min="3" max="3" width="20" customWidth="1"/>
    <col min="4" max="4" width="18" customWidth="1"/>
    <col min="5" max="5" width="28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2" t="s">
        <v>6</v>
      </c>
      <c r="C2" s="3">
        <v>160</v>
      </c>
      <c r="D2" s="4">
        <v>44941</v>
      </c>
      <c r="E2" s="2"/>
    </row>
    <row r="3" spans="1:5" x14ac:dyDescent="0.25">
      <c r="A3" s="2" t="s">
        <v>7</v>
      </c>
      <c r="B3" s="2" t="s">
        <v>6</v>
      </c>
      <c r="C3" s="3">
        <v>160</v>
      </c>
      <c r="D3" s="4">
        <v>44805</v>
      </c>
      <c r="E3" s="2"/>
    </row>
    <row r="4" spans="1:5" x14ac:dyDescent="0.25">
      <c r="A4" s="2" t="s">
        <v>8</v>
      </c>
      <c r="B4" s="2" t="s">
        <v>9</v>
      </c>
      <c r="C4" s="3">
        <v>120</v>
      </c>
      <c r="D4" s="4">
        <v>45422</v>
      </c>
      <c r="E4" s="2"/>
    </row>
    <row r="5" spans="1:5" x14ac:dyDescent="0.25">
      <c r="A5" s="2" t="s">
        <v>10</v>
      </c>
      <c r="B5" s="2" t="s">
        <v>6</v>
      </c>
      <c r="C5" s="3">
        <v>160</v>
      </c>
      <c r="D5" s="4">
        <v>44277</v>
      </c>
      <c r="E5" s="2"/>
    </row>
    <row r="6" spans="1:5" x14ac:dyDescent="0.25">
      <c r="A6" s="2" t="s">
        <v>11</v>
      </c>
      <c r="B6" s="2" t="s">
        <v>12</v>
      </c>
      <c r="C6" s="3">
        <v>80</v>
      </c>
      <c r="D6" s="4">
        <v>45870</v>
      </c>
      <c r="E6" s="2"/>
    </row>
    <row r="7" spans="1:5" x14ac:dyDescent="0.25">
      <c r="A7" s="2" t="s">
        <v>13</v>
      </c>
      <c r="B7" s="2" t="s">
        <v>14</v>
      </c>
      <c r="C7" s="3">
        <v>170</v>
      </c>
      <c r="D7" s="4">
        <v>44012</v>
      </c>
      <c r="E7" s="2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/>
  </sheetViews>
  <sheetFormatPr baseColWidth="10" defaultColWidth="9.140625" defaultRowHeight="15" x14ac:dyDescent="0.25"/>
  <cols>
    <col min="1" max="1" width="10" customWidth="1"/>
    <col min="2" max="2" width="18" customWidth="1"/>
    <col min="3" max="4" width="10" customWidth="1"/>
    <col min="5" max="5" width="12" customWidth="1"/>
    <col min="6" max="6" width="16" customWidth="1"/>
    <col min="7" max="7" width="12" customWidth="1"/>
  </cols>
  <sheetData>
    <row r="1" spans="1:7" x14ac:dyDescent="0.25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</row>
    <row r="2" spans="1:7" x14ac:dyDescent="0.25">
      <c r="A2" s="5" t="s">
        <v>22</v>
      </c>
      <c r="B2" s="5" t="s">
        <v>23</v>
      </c>
      <c r="C2" s="6" t="s">
        <v>24</v>
      </c>
      <c r="D2" s="6" t="s">
        <v>25</v>
      </c>
      <c r="E2" s="5">
        <v>30</v>
      </c>
      <c r="F2" s="7">
        <f>(D2-C2)*24 - (E2/60)</f>
        <v>5.4999999999999982</v>
      </c>
      <c r="G2" s="5" t="s">
        <v>26</v>
      </c>
    </row>
    <row r="3" spans="1:7" x14ac:dyDescent="0.25">
      <c r="A3" s="5" t="s">
        <v>27</v>
      </c>
      <c r="B3" s="5" t="s">
        <v>28</v>
      </c>
      <c r="C3" s="6" t="s">
        <v>29</v>
      </c>
      <c r="D3" s="6" t="s">
        <v>30</v>
      </c>
      <c r="E3" s="5">
        <v>30</v>
      </c>
      <c r="F3" s="7">
        <f>(D3-C3)*24 - (E3/60)</f>
        <v>5.5</v>
      </c>
      <c r="G3" s="5" t="s">
        <v>31</v>
      </c>
    </row>
    <row r="4" spans="1:7" x14ac:dyDescent="0.25">
      <c r="A4" s="5" t="s">
        <v>32</v>
      </c>
      <c r="B4" s="5" t="s">
        <v>33</v>
      </c>
      <c r="C4" s="6" t="s">
        <v>34</v>
      </c>
      <c r="D4" s="6" t="s">
        <v>35</v>
      </c>
      <c r="E4" s="5">
        <v>30</v>
      </c>
      <c r="F4" s="7">
        <f>(D4-C4)*24 - (E4/60)</f>
        <v>5.5</v>
      </c>
      <c r="G4" s="5" t="s">
        <v>36</v>
      </c>
    </row>
    <row r="5" spans="1:7" x14ac:dyDescent="0.25">
      <c r="A5" s="5" t="s">
        <v>37</v>
      </c>
      <c r="B5" s="5" t="s">
        <v>38</v>
      </c>
      <c r="C5" s="6" t="s">
        <v>39</v>
      </c>
      <c r="D5" s="6" t="s">
        <v>34</v>
      </c>
      <c r="E5" s="5">
        <v>0</v>
      </c>
      <c r="F5" s="7">
        <f>(D5-C5)*24 - (E5/60)</f>
        <v>4</v>
      </c>
      <c r="G5" s="5" t="s">
        <v>40</v>
      </c>
    </row>
    <row r="6" spans="1:7" x14ac:dyDescent="0.25">
      <c r="A6" s="5" t="s">
        <v>41</v>
      </c>
      <c r="B6" s="5" t="s">
        <v>42</v>
      </c>
      <c r="C6" s="8"/>
      <c r="D6" s="8"/>
      <c r="E6" s="5">
        <v>0</v>
      </c>
      <c r="F6" s="5">
        <v>0</v>
      </c>
      <c r="G6" s="5" t="s">
        <v>43</v>
      </c>
    </row>
    <row r="7" spans="1:7" x14ac:dyDescent="0.25">
      <c r="A7" s="5" t="s">
        <v>44</v>
      </c>
      <c r="B7" s="5" t="s">
        <v>45</v>
      </c>
      <c r="C7" s="8"/>
      <c r="D7" s="8"/>
      <c r="E7" s="5">
        <v>0</v>
      </c>
      <c r="F7" s="5">
        <v>0</v>
      </c>
      <c r="G7" s="5" t="s">
        <v>43</v>
      </c>
    </row>
    <row r="8" spans="1:7" x14ac:dyDescent="0.25">
      <c r="A8" s="5" t="s">
        <v>46</v>
      </c>
      <c r="B8" s="5" t="s">
        <v>47</v>
      </c>
      <c r="C8" s="8"/>
      <c r="D8" s="8"/>
      <c r="E8" s="5">
        <v>0</v>
      </c>
      <c r="F8" s="5">
        <v>0</v>
      </c>
      <c r="G8" s="5" t="s">
        <v>43</v>
      </c>
    </row>
    <row r="9" spans="1:7" x14ac:dyDescent="0.25">
      <c r="A9" s="5" t="s">
        <v>48</v>
      </c>
      <c r="B9" s="5" t="s">
        <v>49</v>
      </c>
      <c r="C9" s="8"/>
      <c r="D9" s="8"/>
      <c r="E9" s="5">
        <v>0</v>
      </c>
      <c r="F9" s="5">
        <v>0</v>
      </c>
      <c r="G9" s="5" t="s">
        <v>43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/>
  </sheetViews>
  <sheetFormatPr baseColWidth="10" defaultColWidth="9.140625" defaultRowHeight="15" x14ac:dyDescent="0.25"/>
  <cols>
    <col min="1" max="1" width="14" customWidth="1"/>
    <col min="2" max="2" width="28" customWidth="1"/>
  </cols>
  <sheetData>
    <row r="1" spans="1:2" x14ac:dyDescent="0.25">
      <c r="A1" s="1" t="s">
        <v>50</v>
      </c>
      <c r="B1" s="1" t="s">
        <v>16</v>
      </c>
    </row>
    <row r="2" spans="1:2" x14ac:dyDescent="0.25">
      <c r="A2" s="4">
        <v>45920</v>
      </c>
      <c r="B2" s="2" t="s">
        <v>51</v>
      </c>
    </row>
    <row r="3" spans="1:2" x14ac:dyDescent="0.25">
      <c r="A3" s="4">
        <v>45929</v>
      </c>
      <c r="B3" s="2" t="s">
        <v>52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Dienstplan_Monat</vt:lpstr>
      <vt:lpstr>Mitarbeiter</vt:lpstr>
      <vt:lpstr>Schichten</vt:lpstr>
      <vt:lpstr>Feiertage</vt:lpstr>
      <vt:lpstr>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2025-09-12T07:13:22Z</dcterms:created>
  <dcterms:modified xsi:type="dcterms:W3CDTF">2025-09-12T07:26:43Z</dcterms:modified>
</cp:coreProperties>
</file>