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"/>
    </mc:Choice>
  </mc:AlternateContent>
  <xr:revisionPtr revIDLastSave="0" documentId="13_ncr:1_{56F031C5-5B79-4348-A3D2-41BBAF8C54AF}" xr6:coauthVersionLast="47" xr6:coauthVersionMax="47" xr10:uidLastSave="{00000000-0000-0000-0000-000000000000}"/>
  <bookViews>
    <workbookView xWindow="3900" yWindow="3375" windowWidth="22650" windowHeight="12030" xr2:uid="{00000000-000D-0000-FFFF-FFFF00000000}"/>
  </bookViews>
  <sheets>
    <sheet name="Prognose" sheetId="1" r:id="rId1"/>
    <sheet name="Anleitung" sheetId="2" r:id="rId2"/>
  </sheets>
  <definedNames>
    <definedName name="Anschaffungskosten">Prognose!$C$6</definedName>
    <definedName name="Betriebskosten">Prognose!$C$7</definedName>
    <definedName name="Diskontsatz">Prognose!$C$14</definedName>
    <definedName name="Eigenverbrauchsanteil">Prognose!$C$13</definedName>
    <definedName name="Einspeiseverguetung">Prognose!$C$8</definedName>
    <definedName name="Foerdermittel">Prognose!$C$11</definedName>
    <definedName name="Jahresertrag_Spez">Prognose!$C$4</definedName>
    <definedName name="Leistung">Prognose!$C$3</definedName>
    <definedName name="Nutzungsdauer">Prognose!$C$12</definedName>
    <definedName name="Standort">Prognose!$C$5</definedName>
    <definedName name="Strompreis_EV">Prognose!$C$9</definedName>
    <definedName name="Strompreissteigerung">Prognose!$C$10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3" i="1" l="1"/>
  <c r="A42" i="1"/>
  <c r="A41" i="1"/>
  <c r="A40" i="1"/>
  <c r="E40" i="1" s="1"/>
  <c r="A39" i="1"/>
  <c r="A38" i="1"/>
  <c r="A37" i="1"/>
  <c r="A36" i="1"/>
  <c r="A35" i="1"/>
  <c r="E35" i="1" s="1"/>
  <c r="A34" i="1"/>
  <c r="A33" i="1"/>
  <c r="E33" i="1" s="1"/>
  <c r="A32" i="1"/>
  <c r="A31" i="1"/>
  <c r="A30" i="1"/>
  <c r="E30" i="1" s="1"/>
  <c r="A29" i="1"/>
  <c r="E29" i="1" s="1"/>
  <c r="A28" i="1"/>
  <c r="E28" i="1" s="1"/>
  <c r="A27" i="1"/>
  <c r="A26" i="1"/>
  <c r="A25" i="1"/>
  <c r="E25" i="1" s="1"/>
  <c r="A24" i="1"/>
  <c r="E24" i="1" s="1"/>
  <c r="A23" i="1"/>
  <c r="E23" i="1" s="1"/>
  <c r="A22" i="1"/>
  <c r="E22" i="1" s="1"/>
  <c r="A21" i="1"/>
  <c r="E21" i="1" s="1"/>
  <c r="A20" i="1"/>
  <c r="E20" i="1" s="1"/>
  <c r="A19" i="1"/>
  <c r="E19" i="1" s="1"/>
  <c r="I18" i="1"/>
  <c r="F6" i="1"/>
  <c r="F4" i="1"/>
  <c r="F3" i="1"/>
  <c r="E9" i="1" s="1"/>
  <c r="E41" i="1" l="1"/>
  <c r="E36" i="1"/>
  <c r="B19" i="1"/>
  <c r="C19" i="1" s="1"/>
  <c r="B24" i="1"/>
  <c r="C24" i="1" s="1"/>
  <c r="B29" i="1"/>
  <c r="C29" i="1" s="1"/>
  <c r="B34" i="1"/>
  <c r="B39" i="1"/>
  <c r="D39" i="1" s="1"/>
  <c r="E31" i="1"/>
  <c r="C34" i="1"/>
  <c r="C39" i="1"/>
  <c r="E26" i="1"/>
  <c r="D19" i="1"/>
  <c r="D24" i="1"/>
  <c r="D29" i="1"/>
  <c r="D34" i="1"/>
  <c r="E39" i="1"/>
  <c r="B22" i="1"/>
  <c r="D22" i="1" s="1"/>
  <c r="B27" i="1"/>
  <c r="D27" i="1" s="1"/>
  <c r="B32" i="1"/>
  <c r="D32" i="1" s="1"/>
  <c r="B37" i="1"/>
  <c r="C37" i="1" s="1"/>
  <c r="B42" i="1"/>
  <c r="C42" i="1" s="1"/>
  <c r="E34" i="1"/>
  <c r="E27" i="1"/>
  <c r="E42" i="1"/>
  <c r="B20" i="1"/>
  <c r="C20" i="1" s="1"/>
  <c r="B25" i="1"/>
  <c r="D25" i="1" s="1"/>
  <c r="B30" i="1"/>
  <c r="C30" i="1" s="1"/>
  <c r="B35" i="1"/>
  <c r="D35" i="1" s="1"/>
  <c r="B40" i="1"/>
  <c r="C40" i="1" s="1"/>
  <c r="E32" i="1"/>
  <c r="E37" i="1"/>
  <c r="B23" i="1"/>
  <c r="C23" i="1" s="1"/>
  <c r="B28" i="1"/>
  <c r="D28" i="1" s="1"/>
  <c r="B33" i="1"/>
  <c r="C33" i="1" s="1"/>
  <c r="B38" i="1"/>
  <c r="C38" i="1" s="1"/>
  <c r="B43" i="1"/>
  <c r="C43" i="1" s="1"/>
  <c r="D43" i="1"/>
  <c r="E43" i="1"/>
  <c r="B21" i="1"/>
  <c r="D21" i="1" s="1"/>
  <c r="B26" i="1"/>
  <c r="D26" i="1" s="1"/>
  <c r="B31" i="1"/>
  <c r="D31" i="1" s="1"/>
  <c r="B36" i="1"/>
  <c r="D36" i="1" s="1"/>
  <c r="B41" i="1"/>
  <c r="D41" i="1" s="1"/>
  <c r="E38" i="1"/>
  <c r="C36" i="1"/>
  <c r="C41" i="1"/>
  <c r="C31" i="1" l="1"/>
  <c r="F31" i="1" s="1"/>
  <c r="I31" i="1" s="1"/>
  <c r="C26" i="1"/>
  <c r="F43" i="1"/>
  <c r="I43" i="1" s="1"/>
  <c r="F41" i="1"/>
  <c r="I41" i="1" s="1"/>
  <c r="F36" i="1"/>
  <c r="I36" i="1" s="1"/>
  <c r="F39" i="1"/>
  <c r="I39" i="1" s="1"/>
  <c r="F34" i="1"/>
  <c r="I34" i="1" s="1"/>
  <c r="F29" i="1"/>
  <c r="I29" i="1" s="1"/>
  <c r="F26" i="1"/>
  <c r="I26" i="1" s="1"/>
  <c r="C27" i="1"/>
  <c r="F24" i="1"/>
  <c r="I24" i="1" s="1"/>
  <c r="C32" i="1"/>
  <c r="F32" i="1" s="1"/>
  <c r="I32" i="1" s="1"/>
  <c r="C22" i="1"/>
  <c r="F19" i="1"/>
  <c r="I19" i="1" s="1"/>
  <c r="G19" i="1"/>
  <c r="F22" i="1"/>
  <c r="I22" i="1" s="1"/>
  <c r="F37" i="1"/>
  <c r="I37" i="1" s="1"/>
  <c r="F30" i="1"/>
  <c r="I30" i="1" s="1"/>
  <c r="F27" i="1"/>
  <c r="I27" i="1" s="1"/>
  <c r="D38" i="1"/>
  <c r="F38" i="1" s="1"/>
  <c r="I38" i="1" s="1"/>
  <c r="D33" i="1"/>
  <c r="F33" i="1" s="1"/>
  <c r="I33" i="1" s="1"/>
  <c r="D20" i="1"/>
  <c r="F20" i="1" s="1"/>
  <c r="I20" i="1" s="1"/>
  <c r="D23" i="1"/>
  <c r="F23" i="1" s="1"/>
  <c r="I23" i="1" s="1"/>
  <c r="C21" i="1"/>
  <c r="F21" i="1" s="1"/>
  <c r="I21" i="1" s="1"/>
  <c r="D42" i="1"/>
  <c r="F42" i="1" s="1"/>
  <c r="I42" i="1" s="1"/>
  <c r="C25" i="1"/>
  <c r="F25" i="1" s="1"/>
  <c r="I25" i="1" s="1"/>
  <c r="D40" i="1"/>
  <c r="F40" i="1" s="1"/>
  <c r="I40" i="1" s="1"/>
  <c r="D30" i="1"/>
  <c r="C28" i="1"/>
  <c r="F28" i="1" s="1"/>
  <c r="I28" i="1" s="1"/>
  <c r="D37" i="1"/>
  <c r="C35" i="1"/>
  <c r="F35" i="1" s="1"/>
  <c r="I35" i="1" s="1"/>
  <c r="G20" i="1" l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F7" i="1"/>
  <c r="F5" i="1" l="1"/>
</calcChain>
</file>

<file path=xl/sharedStrings.xml><?xml version="1.0" encoding="utf-8"?>
<sst xmlns="http://schemas.openxmlformats.org/spreadsheetml/2006/main" count="37" uniqueCount="37">
  <si>
    <t>Eingabedaten</t>
  </si>
  <si>
    <t>Installierte Leistung (kWp)</t>
  </si>
  <si>
    <t>Spezifischer Jahresertrag (kWh/kWp)</t>
  </si>
  <si>
    <t>Standort</t>
  </si>
  <si>
    <t>Musterstadt</t>
  </si>
  <si>
    <t>Anschaffungskosten (€)</t>
  </si>
  <si>
    <t>Betriebskosten jährlich (€)</t>
  </si>
  <si>
    <t>Einspeisevergütung (€/kWh)</t>
  </si>
  <si>
    <t>Strompreis Eigenverbrauch (€/kWh)</t>
  </si>
  <si>
    <t>Strompreissteigerung pro Jahr (%)</t>
  </si>
  <si>
    <t>Fördermittel (€)</t>
  </si>
  <si>
    <t>Nutzungsdauer (Jahre)</t>
  </si>
  <si>
    <t>Eigenverbrauchsanteil (%)</t>
  </si>
  <si>
    <t>Diskontsatz für NPV (%)</t>
  </si>
  <si>
    <t>Zusammenfassung</t>
  </si>
  <si>
    <t>Gesamtinvestition</t>
  </si>
  <si>
    <t>Amortisationszeit</t>
  </si>
  <si>
    <t>Kapitalwert (NPV)</t>
  </si>
  <si>
    <t>Gesamtertrag nach 25 Jahren</t>
  </si>
  <si>
    <t>Rendite (IRR)</t>
  </si>
  <si>
    <t>Ertrags- und Kostenrechnung (Prognose über 25 Jahre)</t>
  </si>
  <si>
    <t>Jahr</t>
  </si>
  <si>
    <t>Anleitung zur Nutzung der Tabelle</t>
  </si>
  <si>
    <t>Einleitung</t>
  </si>
  <si>
    <t>Diese Excel-Tabelle dient zur Berechnung einer Gewinnprognose für eine Photovoltaikanlage. Sie berechnet automatisch die Erträge, Kosten, Amortisationszeit und den Kapitalwert basierend auf Ihren Eingaben.</t>
  </si>
  <si>
    <t>Schritt 1: Eingabedaten</t>
  </si>
  <si>
    <t>Gehen Sie zum Tabellenblatt 'Prognose'. Tragen Sie Ihre individuellen Anlagedaten in die blau hinterlegten Zellen (B3:B14) ein. Alle anderen Zellen werden automatisch berechnet und sollten nicht manuell geändert werden.</t>
  </si>
  <si>
    <t>Schritt 2: Ergebnisse ablesen</t>
  </si>
  <si>
    <t>Die wichtigsten Kennzahlen Ihrer Investition (Amortisationszeit, Kapitalwert, etc.) finden Sie direkt im Kasten 'Zusammenfassung'.
Die detaillierte Jahresaufschlüsselung der Finanzen finden Sie in der Tabelle 'Ertrags- und Kostenrechnung'. Das Jahr, in dem die Anlage ihre Kosten eingespielt hat (Amortisation), ist in der Spalte 'Kumulativer Gewinn' grün markiert.</t>
  </si>
  <si>
    <t>Schritt 3: Visuelle Analyse</t>
  </si>
  <si>
    <t>Unterhalb der Berechnungstabelle finden Sie zwei Diagramme zur visuellen Auswertung:
1. Ein Balkendiagramm, das den jährlichen Nettoertrag mit den Betriebskosten vergleicht.
2. Ein Liniendiagramm, das den Verlauf des kumulativen Gewinns über die gesamte Nutzungsdauer zeigt.</t>
  </si>
  <si>
    <t>Eigenverbrauch
Ersparnis (€)</t>
  </si>
  <si>
    <t>Einspeiseerlöse
(€)</t>
  </si>
  <si>
    <t>Jahresertrag
(kWh)</t>
  </si>
  <si>
    <t>Betriebskosten
(€)</t>
  </si>
  <si>
    <t>Nettoertrag p.a.
(€)</t>
  </si>
  <si>
    <t>Kumulativer
Gewinn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</si>
</sst>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\€"/>
    <numFmt numFmtId="165" formatCode="0.0\ &quot;Jahre&quot;"/>
  </numFmts>
  <fonts count="5" x14ac:knownFonts="1">
    <font>
      <sz val="11"/>
      <color theme="1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4F81BD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3" fontId="0" fillId="3" borderId="1" xfId="0" applyNumberFormat="1" applyFill="1" applyBorder="1"/>
    <xf numFmtId="0" fontId="2" fillId="0" borderId="0" xfId="0" applyFont="1" applyAlignment="1">
      <alignment horizontal="right"/>
    </xf>
    <xf numFmtId="164" fontId="2" fillId="0" borderId="0" xfId="0" applyNumberFormat="1" applyFont="1"/>
    <xf numFmtId="165" fontId="2" fillId="0" borderId="0" xfId="0" applyNumberFormat="1" applyFont="1"/>
    <xf numFmtId="0" fontId="0" fillId="3" borderId="1" xfId="0" applyFill="1" applyBorder="1"/>
    <xf numFmtId="164" fontId="0" fillId="3" borderId="1" xfId="0" applyNumberFormat="1" applyFill="1" applyBorder="1"/>
    <xf numFmtId="10" fontId="2" fillId="0" borderId="0" xfId="0" applyNumberFormat="1" applyFont="1"/>
    <xf numFmtId="10" fontId="0" fillId="3" borderId="1" xfId="0" applyNumberFormat="1" applyFill="1" applyBorder="1"/>
    <xf numFmtId="0" fontId="4" fillId="4" borderId="1" xfId="0" applyFont="1" applyFill="1" applyBorder="1" applyAlignment="1">
      <alignment horizontal="center" vertical="center"/>
    </xf>
    <xf numFmtId="3" fontId="0" fillId="0" borderId="1" xfId="0" applyNumberFormat="1" applyBorder="1"/>
    <xf numFmtId="164" fontId="0" fillId="0" borderId="1" xfId="0" applyNumberFormat="1" applyBorder="1"/>
    <xf numFmtId="0" fontId="2" fillId="0" borderId="0" xfId="0" applyFont="1"/>
    <xf numFmtId="0" fontId="0" fillId="0" borderId="0" xfId="0" applyAlignment="1">
      <alignment vertical="top"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4" fillId="4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0" fontId="2" fillId="2" borderId="2" xfId="0" applyFont="1" applyFill="1" applyBorder="1" applyAlignment="1">
      <alignment horizontal="right"/>
    </xf>
  </cellXfs>
  <cellStyles count="1">
    <cellStyle name="Normal" xfId="0" builtinId="0"/>
  </cellStyles>
  <dxfs count="1">
    <dxf>
      <font>
        <color rgb="FF006100"/>
      </font>
      <fill>
        <patternFill>
          <bgColor rgb="FFC6E0B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Jährlicher Nettoertrag vs. Betriebskosten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Prognose!$G$18</c:f>
              <c:strCache>
                <c:ptCount val="1"/>
                <c:pt idx="0">
                  <c:v>Kumulativer
Gewinn (€)</c:v>
                </c:pt>
              </c:strCache>
            </c:strRef>
          </c:tx>
          <c:spPr>
            <a:solidFill>
              <a:srgbClr val="4F81BD"/>
            </a:solidFill>
          </c:spPr>
          <c:invertIfNegative val="0"/>
          <c:cat>
            <c:numRef>
              <c:f>Prognose!$A$19:$A$43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cat>
          <c:val>
            <c:numRef>
              <c:f>Prognose!$G$19:$G$43</c:f>
              <c:numCache>
                <c:formatCode>#,##0.00\ \€</c:formatCode>
                <c:ptCount val="25"/>
                <c:pt idx="0">
                  <c:v>-12558.5</c:v>
                </c:pt>
                <c:pt idx="1">
                  <c:v>-11084.555</c:v>
                </c:pt>
                <c:pt idx="2">
                  <c:v>-9577.1916500000007</c:v>
                </c:pt>
                <c:pt idx="3">
                  <c:v>-8035.4073995000008</c:v>
                </c:pt>
                <c:pt idx="4">
                  <c:v>-6458.1696214850008</c:v>
                </c:pt>
                <c:pt idx="5">
                  <c:v>-4844.4147101295512</c:v>
                </c:pt>
                <c:pt idx="6">
                  <c:v>-3193.0471514334376</c:v>
                </c:pt>
                <c:pt idx="7">
                  <c:v>-1502.9385659764409</c:v>
                </c:pt>
                <c:pt idx="8">
                  <c:v>227.07327704426575</c:v>
                </c:pt>
                <c:pt idx="9">
                  <c:v>1998.1854753555936</c:v>
                </c:pt>
                <c:pt idx="10">
                  <c:v>3811.6310396162612</c:v>
                </c:pt>
                <c:pt idx="11">
                  <c:v>5668.6799708047492</c:v>
                </c:pt>
                <c:pt idx="12">
                  <c:v>7570.6403699288912</c:v>
                </c:pt>
                <c:pt idx="13">
                  <c:v>9518.859581026758</c:v>
                </c:pt>
                <c:pt idx="14">
                  <c:v>11514.725368457561</c:v>
                </c:pt>
                <c:pt idx="15">
                  <c:v>13559.667129511286</c:v>
                </c:pt>
                <c:pt idx="16">
                  <c:v>15655.157143396624</c:v>
                </c:pt>
                <c:pt idx="17">
                  <c:v>17802.711857698523</c:v>
                </c:pt>
                <c:pt idx="18">
                  <c:v>20003.893213429477</c:v>
                </c:pt>
                <c:pt idx="19">
                  <c:v>22260.310009832363</c:v>
                </c:pt>
                <c:pt idx="20">
                  <c:v>24573.619310127331</c:v>
                </c:pt>
                <c:pt idx="21">
                  <c:v>26945.527889431149</c:v>
                </c:pt>
                <c:pt idx="22">
                  <c:v>29377.793726114083</c:v>
                </c:pt>
                <c:pt idx="23">
                  <c:v>31872.227537897506</c:v>
                </c:pt>
                <c:pt idx="24">
                  <c:v>34430.694364034433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89-4F66-8FE6-FDD349953486}"/>
            </c:ext>
          </c:extLst>
        </c:ser>
        <c:ser>
          <c:idx val="1"/>
          <c:order val="1"/>
          <c:tx>
            <c:strRef>
              <c:f>Prognose!$F$18</c:f>
              <c:strCache>
                <c:ptCount val="1"/>
                <c:pt idx="0">
                  <c:v>Nettoertrag p.a.
(€)</c:v>
                </c:pt>
              </c:strCache>
            </c:strRef>
          </c:tx>
          <c:spPr>
            <a:solidFill>
              <a:srgbClr val="C0504D"/>
            </a:solidFill>
          </c:spPr>
          <c:invertIfNegative val="0"/>
          <c:cat>
            <c:numRef>
              <c:f>Prognose!$A$19:$A$43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cat>
          <c:val>
            <c:numRef>
              <c:f>Prognose!$F$19:$F$43</c:f>
              <c:numCache>
                <c:formatCode>#,##0.00\ \€</c:formatCode>
                <c:ptCount val="25"/>
                <c:pt idx="0">
                  <c:v>1441.5</c:v>
                </c:pt>
                <c:pt idx="1">
                  <c:v>1473.9449999999999</c:v>
                </c:pt>
                <c:pt idx="2">
                  <c:v>1507.3633500000001</c:v>
                </c:pt>
                <c:pt idx="3">
                  <c:v>1541.7842504999999</c:v>
                </c:pt>
                <c:pt idx="4">
                  <c:v>1577.2377780149998</c:v>
                </c:pt>
                <c:pt idx="5">
                  <c:v>1613.7549113554498</c:v>
                </c:pt>
                <c:pt idx="6">
                  <c:v>1651.3675586961135</c:v>
                </c:pt>
                <c:pt idx="7">
                  <c:v>1690.1085854569967</c:v>
                </c:pt>
                <c:pt idx="8">
                  <c:v>1730.0118430207067</c:v>
                </c:pt>
                <c:pt idx="9">
                  <c:v>1771.1121983113278</c:v>
                </c:pt>
                <c:pt idx="10">
                  <c:v>1813.4455642606677</c:v>
                </c:pt>
                <c:pt idx="11">
                  <c:v>1857.0489311884876</c:v>
                </c:pt>
                <c:pt idx="12">
                  <c:v>1901.960399124142</c:v>
                </c:pt>
                <c:pt idx="13">
                  <c:v>1948.2192110978667</c:v>
                </c:pt>
                <c:pt idx="14">
                  <c:v>1995.8657874308028</c:v>
                </c:pt>
                <c:pt idx="15">
                  <c:v>2044.9417610537266</c:v>
                </c:pt>
                <c:pt idx="16">
                  <c:v>2095.4900138853382</c:v>
                </c:pt>
                <c:pt idx="17">
                  <c:v>2147.5547143018985</c:v>
                </c:pt>
                <c:pt idx="18">
                  <c:v>2201.1813557309551</c:v>
                </c:pt>
                <c:pt idx="19">
                  <c:v>2256.4167964028838</c:v>
                </c:pt>
                <c:pt idx="20">
                  <c:v>2313.3093002949699</c:v>
                </c:pt>
                <c:pt idx="21">
                  <c:v>2371.9085793038194</c:v>
                </c:pt>
                <c:pt idx="22">
                  <c:v>2432.2658366829342</c:v>
                </c:pt>
                <c:pt idx="23">
                  <c:v>2494.4338117834218</c:v>
                </c:pt>
                <c:pt idx="24">
                  <c:v>2558.4668261369247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A89-4F66-8FE6-FDD3499534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Jahr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Betrag (€)</a:t>
                </a:r>
              </a:p>
            </c:rich>
          </c:tx>
          <c:overlay val="0"/>
        </c:title>
        <c:numFmt formatCode="#,##0\ \€" sourceLinked="0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Kumulativer Gewinn über die Nutzungsdauer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Prognose!$H$18</c:f>
              <c:strCache>
                <c:ptCount val="1"/>
              </c:strCache>
            </c:strRef>
          </c:tx>
          <c:spPr>
            <a:ln w="31750">
              <a:solidFill>
                <a:srgbClr val="9BBB59"/>
              </a:solidFill>
            </a:ln>
          </c:spPr>
          <c:marker>
            <c:symbol val="none"/>
          </c:marker>
          <c:cat>
            <c:numRef>
              <c:f>Prognose!$A$19:$A$43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cat>
          <c:val>
            <c:numRef>
              <c:f>Prognose!$H$19:$H$43</c:f>
              <c:numCache>
                <c:formatCode>General</c:formatCode>
                <c:ptCount val="2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09-4204-A3CC-1908FD122A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20001"/>
        <c:axId val="50020002"/>
      </c:lineChart>
      <c:catAx>
        <c:axId val="5002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Jahr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Gewinn (€)</a:t>
                </a:r>
              </a:p>
            </c:rich>
          </c:tx>
          <c:overlay val="0"/>
        </c:title>
        <c:numFmt formatCode="#,##0\ \€" sourceLinked="0"/>
        <c:majorTickMark val="out"/>
        <c:minorTickMark val="none"/>
        <c:tickLblPos val="nextTo"/>
        <c:crossAx val="5002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52917</xdr:colOff>
      <xdr:row>44</xdr:row>
      <xdr:rowOff>158750</xdr:rowOff>
    </xdr:from>
    <xdr:to>
      <xdr:col>8</xdr:col>
      <xdr:colOff>795867</xdr:colOff>
      <xdr:row>62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57148</xdr:colOff>
      <xdr:row>63</xdr:row>
      <xdr:rowOff>9525</xdr:rowOff>
    </xdr:from>
    <xdr:to>
      <xdr:col>8</xdr:col>
      <xdr:colOff>742949</xdr:colOff>
      <xdr:row>80</xdr:row>
      <xdr:rowOff>66675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38" zoomScale="90" zoomScaleNormal="90" workbookViewId="0">
      <selection activeCell="L53" sqref="L53"/>
    </sheetView>
  </sheetViews>
  <sheetFormatPr baseColWidth="10" defaultColWidth="9.140625" defaultRowHeight="15" x14ac:dyDescent="0.25"/>
  <cols>
    <col min="1" max="1" width="13.7109375" customWidth="1"/>
    <col min="2" max="2" width="21" customWidth="1"/>
    <col min="3" max="3" width="15" bestFit="1" customWidth="1"/>
    <col min="4" max="4" width="14.7109375" bestFit="1" customWidth="1"/>
    <col min="5" max="5" width="17" customWidth="1"/>
    <col min="6" max="6" width="15.140625" bestFit="1" customWidth="1"/>
    <col min="7" max="7" width="11.85546875" bestFit="1" customWidth="1"/>
    <col min="8" max="8" width="20.7109375" customWidth="1"/>
    <col min="9" max="9" width="12" bestFit="1" customWidth="1"/>
    <col min="10" max="10" width="25.7109375" customWidth="1"/>
    <col min="11" max="11" width="20.7109375" customWidth="1"/>
  </cols>
  <sheetData>
    <row r="1" spans="1:8" ht="18.75" x14ac:dyDescent="0.25">
      <c r="A1" s="15" t="s">
        <v>0</v>
      </c>
      <c r="B1" s="15"/>
      <c r="E1" s="15" t="s">
        <v>14</v>
      </c>
      <c r="F1" s="15"/>
    </row>
    <row r="3" spans="1:8" x14ac:dyDescent="0.25">
      <c r="A3" s="18" t="s">
        <v>1</v>
      </c>
      <c r="B3" s="19"/>
      <c r="C3" s="2">
        <v>10</v>
      </c>
      <c r="E3" s="3" t="s">
        <v>15</v>
      </c>
      <c r="F3" s="4">
        <f>Anschaffungskosten-Foerdermittel</f>
        <v>14000</v>
      </c>
    </row>
    <row r="4" spans="1:8" x14ac:dyDescent="0.25">
      <c r="A4" s="18" t="s">
        <v>2</v>
      </c>
      <c r="B4" s="19"/>
      <c r="C4" s="2">
        <v>1000</v>
      </c>
      <c r="E4" s="3" t="s">
        <v>16</v>
      </c>
      <c r="F4" s="5">
        <f>IFERROR(MATCH(TRUE,INDEX(H19:H43&gt;=0,0),0),"nie")</f>
        <v>1</v>
      </c>
    </row>
    <row r="5" spans="1:8" x14ac:dyDescent="0.25">
      <c r="A5" s="18" t="s">
        <v>3</v>
      </c>
      <c r="B5" s="19"/>
      <c r="C5" s="6" t="s">
        <v>4</v>
      </c>
      <c r="E5" s="3" t="s">
        <v>17</v>
      </c>
      <c r="F5" s="4">
        <f>NPV(Diskontsatz,G19:G43)-(Anschaffungskosten-Foerdermittel)</f>
        <v>42651.396331553035</v>
      </c>
    </row>
    <row r="6" spans="1:8" x14ac:dyDescent="0.25">
      <c r="A6" s="18" t="s">
        <v>5</v>
      </c>
      <c r="B6" s="19"/>
      <c r="C6" s="7">
        <v>15000</v>
      </c>
      <c r="E6" s="3" t="s">
        <v>18</v>
      </c>
      <c r="F6" s="4">
        <f>INDEX(H19:H43,Nutzungsdauer)</f>
        <v>0</v>
      </c>
    </row>
    <row r="7" spans="1:8" x14ac:dyDescent="0.25">
      <c r="A7" s="18" t="s">
        <v>6</v>
      </c>
      <c r="B7" s="19"/>
      <c r="C7" s="7">
        <v>200</v>
      </c>
      <c r="E7" s="3" t="s">
        <v>19</v>
      </c>
      <c r="F7" s="8">
        <f>IRR(I18:I43)</f>
        <v>0.11406081616437902</v>
      </c>
    </row>
    <row r="8" spans="1:8" x14ac:dyDescent="0.25">
      <c r="A8" s="18" t="s">
        <v>7</v>
      </c>
      <c r="B8" s="19"/>
      <c r="C8" s="7">
        <v>0.08</v>
      </c>
    </row>
    <row r="9" spans="1:8" x14ac:dyDescent="0.25">
      <c r="A9" s="18" t="s">
        <v>8</v>
      </c>
      <c r="B9" s="19"/>
      <c r="C9" s="7">
        <v>0.35</v>
      </c>
      <c r="E9" s="16" t="str">
        <f>"Die Photovoltaikanlage amortisiert sich nach ca. " &amp; TEXT(F3, "0,0") &amp; " Jahren. Der Kapitalwert (NPV) nach 25 Jahren beträgt " &amp; TEXT(F4, "#.##0,00 €") &amp; "."</f>
        <v>Die Photovoltaikanlage amortisiert sich nach ca. 14000,0 Jahren. Der Kapitalwert (NPV) nach 25 Jahren beträgt 1,00 €.</v>
      </c>
      <c r="F9" s="16"/>
    </row>
    <row r="10" spans="1:8" x14ac:dyDescent="0.25">
      <c r="A10" s="18" t="s">
        <v>9</v>
      </c>
      <c r="B10" s="19"/>
      <c r="C10" s="9">
        <v>0.03</v>
      </c>
      <c r="E10" s="16"/>
      <c r="F10" s="16"/>
    </row>
    <row r="11" spans="1:8" x14ac:dyDescent="0.25">
      <c r="A11" s="18" t="s">
        <v>10</v>
      </c>
      <c r="B11" s="19"/>
      <c r="C11" s="7">
        <v>1000</v>
      </c>
      <c r="E11" s="16"/>
      <c r="F11" s="16"/>
    </row>
    <row r="12" spans="1:8" x14ac:dyDescent="0.25">
      <c r="A12" s="18" t="s">
        <v>11</v>
      </c>
      <c r="B12" s="19"/>
      <c r="C12" s="2">
        <v>25</v>
      </c>
      <c r="E12" s="16"/>
      <c r="F12" s="16"/>
    </row>
    <row r="13" spans="1:8" x14ac:dyDescent="0.25">
      <c r="A13" s="18" t="s">
        <v>12</v>
      </c>
      <c r="B13" s="19"/>
      <c r="C13" s="9">
        <v>0.3</v>
      </c>
    </row>
    <row r="14" spans="1:8" x14ac:dyDescent="0.25">
      <c r="A14" s="18" t="s">
        <v>13</v>
      </c>
      <c r="B14" s="19"/>
      <c r="C14" s="9">
        <v>0.05</v>
      </c>
    </row>
    <row r="16" spans="1:8" ht="18.75" x14ac:dyDescent="0.25">
      <c r="A16" s="15" t="s">
        <v>20</v>
      </c>
      <c r="B16" s="15"/>
      <c r="C16" s="15"/>
      <c r="D16" s="15"/>
      <c r="E16" s="15"/>
      <c r="F16" s="15"/>
      <c r="G16" s="15"/>
      <c r="H16" s="15"/>
    </row>
    <row r="18" spans="1:9" ht="30" x14ac:dyDescent="0.25">
      <c r="A18" s="10" t="s">
        <v>21</v>
      </c>
      <c r="B18" s="17" t="s">
        <v>33</v>
      </c>
      <c r="C18" s="17" t="s">
        <v>32</v>
      </c>
      <c r="D18" s="17" t="s">
        <v>31</v>
      </c>
      <c r="E18" s="17" t="s">
        <v>34</v>
      </c>
      <c r="F18" s="17" t="s">
        <v>35</v>
      </c>
      <c r="G18" s="17" t="s">
        <v>36</v>
      </c>
      <c r="I18">
        <f>-(Anschaffungskosten-Foerdermittel)</f>
        <v>-14000</v>
      </c>
    </row>
    <row r="19" spans="1:9" x14ac:dyDescent="0.25">
      <c r="A19" s="11">
        <f>IF(1&lt;=Nutzungsdauer, 1, "")</f>
        <v>1</v>
      </c>
      <c r="B19" s="11">
        <f t="shared" ref="B19:B43" si="0">IF(A19&lt;&gt;"", Leistung*Jahresertrag_Spez, "")</f>
        <v>10000</v>
      </c>
      <c r="C19" s="12">
        <f t="shared" ref="C19:C43" si="1">IF(A19&lt;&gt;"", B19*(1-Eigenverbrauchsanteil)*Einspeiseverguetung, "")</f>
        <v>560</v>
      </c>
      <c r="D19" s="12">
        <f t="shared" ref="D19:D43" si="2">IF(A19&lt;&gt;"", B19*Eigenverbrauchsanteil*Strompreis_EV*POWER(1+Strompreissteigerung, A19), "")</f>
        <v>1081.5</v>
      </c>
      <c r="E19" s="12">
        <f t="shared" ref="E19:E43" si="3">IF(A19&lt;&gt;"", Betriebskosten, "")</f>
        <v>200</v>
      </c>
      <c r="F19" s="12">
        <f t="shared" ref="F19:F43" si="4">IF(A19&lt;&gt;"", SUM(C19:D19)-E19, "")</f>
        <v>1441.5</v>
      </c>
      <c r="G19" s="12">
        <f>IF(A19&lt;&gt;"", F19-(Anschaffungskosten-Foerdermittel), "")</f>
        <v>-12558.5</v>
      </c>
      <c r="I19">
        <f t="shared" ref="I19:I43" si="5">F19</f>
        <v>1441.5</v>
      </c>
    </row>
    <row r="20" spans="1:9" x14ac:dyDescent="0.25">
      <c r="A20" s="11">
        <f>IF(2&lt;=Nutzungsdauer, 2, "")</f>
        <v>2</v>
      </c>
      <c r="B20" s="11">
        <f t="shared" si="0"/>
        <v>10000</v>
      </c>
      <c r="C20" s="12">
        <f t="shared" si="1"/>
        <v>560</v>
      </c>
      <c r="D20" s="12">
        <f t="shared" si="2"/>
        <v>1113.9449999999999</v>
      </c>
      <c r="E20" s="12">
        <f t="shared" si="3"/>
        <v>200</v>
      </c>
      <c r="F20" s="12">
        <f t="shared" si="4"/>
        <v>1473.9449999999999</v>
      </c>
      <c r="G20" s="12">
        <f t="shared" ref="G20:G43" si="6">IF(A20&lt;&gt;"", G19+F20, "")</f>
        <v>-11084.555</v>
      </c>
      <c r="I20">
        <f t="shared" si="5"/>
        <v>1473.9449999999999</v>
      </c>
    </row>
    <row r="21" spans="1:9" x14ac:dyDescent="0.25">
      <c r="A21" s="11">
        <f>IF(3&lt;=Nutzungsdauer, 3, "")</f>
        <v>3</v>
      </c>
      <c r="B21" s="11">
        <f t="shared" si="0"/>
        <v>10000</v>
      </c>
      <c r="C21" s="12">
        <f t="shared" si="1"/>
        <v>560</v>
      </c>
      <c r="D21" s="12">
        <f t="shared" si="2"/>
        <v>1147.3633500000001</v>
      </c>
      <c r="E21" s="12">
        <f t="shared" si="3"/>
        <v>200</v>
      </c>
      <c r="F21" s="12">
        <f t="shared" si="4"/>
        <v>1507.3633500000001</v>
      </c>
      <c r="G21" s="12">
        <f t="shared" si="6"/>
        <v>-9577.1916500000007</v>
      </c>
      <c r="I21">
        <f t="shared" si="5"/>
        <v>1507.3633500000001</v>
      </c>
    </row>
    <row r="22" spans="1:9" x14ac:dyDescent="0.25">
      <c r="A22" s="11">
        <f>IF(4&lt;=Nutzungsdauer, 4, "")</f>
        <v>4</v>
      </c>
      <c r="B22" s="11">
        <f t="shared" si="0"/>
        <v>10000</v>
      </c>
      <c r="C22" s="12">
        <f t="shared" si="1"/>
        <v>560</v>
      </c>
      <c r="D22" s="12">
        <f t="shared" si="2"/>
        <v>1181.7842504999999</v>
      </c>
      <c r="E22" s="12">
        <f t="shared" si="3"/>
        <v>200</v>
      </c>
      <c r="F22" s="12">
        <f t="shared" si="4"/>
        <v>1541.7842504999999</v>
      </c>
      <c r="G22" s="12">
        <f t="shared" si="6"/>
        <v>-8035.4073995000008</v>
      </c>
      <c r="I22">
        <f t="shared" si="5"/>
        <v>1541.7842504999999</v>
      </c>
    </row>
    <row r="23" spans="1:9" x14ac:dyDescent="0.25">
      <c r="A23" s="11">
        <f>IF(5&lt;=Nutzungsdauer, 5, "")</f>
        <v>5</v>
      </c>
      <c r="B23" s="11">
        <f t="shared" si="0"/>
        <v>10000</v>
      </c>
      <c r="C23" s="12">
        <f t="shared" si="1"/>
        <v>560</v>
      </c>
      <c r="D23" s="12">
        <f t="shared" si="2"/>
        <v>1217.2377780149998</v>
      </c>
      <c r="E23" s="12">
        <f t="shared" si="3"/>
        <v>200</v>
      </c>
      <c r="F23" s="12">
        <f t="shared" si="4"/>
        <v>1577.2377780149998</v>
      </c>
      <c r="G23" s="12">
        <f t="shared" si="6"/>
        <v>-6458.1696214850008</v>
      </c>
      <c r="I23">
        <f t="shared" si="5"/>
        <v>1577.2377780149998</v>
      </c>
    </row>
    <row r="24" spans="1:9" x14ac:dyDescent="0.25">
      <c r="A24" s="11">
        <f>IF(6&lt;=Nutzungsdauer, 6, "")</f>
        <v>6</v>
      </c>
      <c r="B24" s="11">
        <f t="shared" si="0"/>
        <v>10000</v>
      </c>
      <c r="C24" s="12">
        <f t="shared" si="1"/>
        <v>560</v>
      </c>
      <c r="D24" s="12">
        <f t="shared" si="2"/>
        <v>1253.7549113554498</v>
      </c>
      <c r="E24" s="12">
        <f t="shared" si="3"/>
        <v>200</v>
      </c>
      <c r="F24" s="12">
        <f t="shared" si="4"/>
        <v>1613.7549113554498</v>
      </c>
      <c r="G24" s="12">
        <f t="shared" si="6"/>
        <v>-4844.4147101295512</v>
      </c>
      <c r="I24">
        <f t="shared" si="5"/>
        <v>1613.7549113554498</v>
      </c>
    </row>
    <row r="25" spans="1:9" x14ac:dyDescent="0.25">
      <c r="A25" s="11">
        <f>IF(7&lt;=Nutzungsdauer, 7, "")</f>
        <v>7</v>
      </c>
      <c r="B25" s="11">
        <f t="shared" si="0"/>
        <v>10000</v>
      </c>
      <c r="C25" s="12">
        <f t="shared" si="1"/>
        <v>560</v>
      </c>
      <c r="D25" s="12">
        <f t="shared" si="2"/>
        <v>1291.3675586961135</v>
      </c>
      <c r="E25" s="12">
        <f t="shared" si="3"/>
        <v>200</v>
      </c>
      <c r="F25" s="12">
        <f t="shared" si="4"/>
        <v>1651.3675586961135</v>
      </c>
      <c r="G25" s="12">
        <f t="shared" si="6"/>
        <v>-3193.0471514334376</v>
      </c>
      <c r="I25">
        <f t="shared" si="5"/>
        <v>1651.3675586961135</v>
      </c>
    </row>
    <row r="26" spans="1:9" x14ac:dyDescent="0.25">
      <c r="A26" s="11">
        <f>IF(8&lt;=Nutzungsdauer, 8, "")</f>
        <v>8</v>
      </c>
      <c r="B26" s="11">
        <f t="shared" si="0"/>
        <v>10000</v>
      </c>
      <c r="C26" s="12">
        <f t="shared" si="1"/>
        <v>560</v>
      </c>
      <c r="D26" s="12">
        <f t="shared" si="2"/>
        <v>1330.1085854569967</v>
      </c>
      <c r="E26" s="12">
        <f t="shared" si="3"/>
        <v>200</v>
      </c>
      <c r="F26" s="12">
        <f t="shared" si="4"/>
        <v>1690.1085854569967</v>
      </c>
      <c r="G26" s="12">
        <f t="shared" si="6"/>
        <v>-1502.9385659764409</v>
      </c>
      <c r="I26">
        <f t="shared" si="5"/>
        <v>1690.1085854569967</v>
      </c>
    </row>
    <row r="27" spans="1:9" x14ac:dyDescent="0.25">
      <c r="A27" s="11">
        <f>IF(9&lt;=Nutzungsdauer, 9, "")</f>
        <v>9</v>
      </c>
      <c r="B27" s="11">
        <f t="shared" si="0"/>
        <v>10000</v>
      </c>
      <c r="C27" s="12">
        <f t="shared" si="1"/>
        <v>560</v>
      </c>
      <c r="D27" s="12">
        <f t="shared" si="2"/>
        <v>1370.0118430207067</v>
      </c>
      <c r="E27" s="12">
        <f t="shared" si="3"/>
        <v>200</v>
      </c>
      <c r="F27" s="12">
        <f t="shared" si="4"/>
        <v>1730.0118430207067</v>
      </c>
      <c r="G27" s="12">
        <f t="shared" si="6"/>
        <v>227.07327704426575</v>
      </c>
      <c r="I27">
        <f t="shared" si="5"/>
        <v>1730.0118430207067</v>
      </c>
    </row>
    <row r="28" spans="1:9" x14ac:dyDescent="0.25">
      <c r="A28" s="11">
        <f>IF(10&lt;=Nutzungsdauer, 10, "")</f>
        <v>10</v>
      </c>
      <c r="B28" s="11">
        <f t="shared" si="0"/>
        <v>10000</v>
      </c>
      <c r="C28" s="12">
        <f t="shared" si="1"/>
        <v>560</v>
      </c>
      <c r="D28" s="12">
        <f t="shared" si="2"/>
        <v>1411.1121983113278</v>
      </c>
      <c r="E28" s="12">
        <f t="shared" si="3"/>
        <v>200</v>
      </c>
      <c r="F28" s="12">
        <f t="shared" si="4"/>
        <v>1771.1121983113278</v>
      </c>
      <c r="G28" s="12">
        <f t="shared" si="6"/>
        <v>1998.1854753555936</v>
      </c>
      <c r="I28">
        <f t="shared" si="5"/>
        <v>1771.1121983113278</v>
      </c>
    </row>
    <row r="29" spans="1:9" x14ac:dyDescent="0.25">
      <c r="A29" s="11">
        <f>IF(11&lt;=Nutzungsdauer, 11, "")</f>
        <v>11</v>
      </c>
      <c r="B29" s="11">
        <f t="shared" si="0"/>
        <v>10000</v>
      </c>
      <c r="C29" s="12">
        <f t="shared" si="1"/>
        <v>560</v>
      </c>
      <c r="D29" s="12">
        <f t="shared" si="2"/>
        <v>1453.4455642606677</v>
      </c>
      <c r="E29" s="12">
        <f t="shared" si="3"/>
        <v>200</v>
      </c>
      <c r="F29" s="12">
        <f t="shared" si="4"/>
        <v>1813.4455642606677</v>
      </c>
      <c r="G29" s="12">
        <f t="shared" si="6"/>
        <v>3811.6310396162612</v>
      </c>
      <c r="I29">
        <f t="shared" si="5"/>
        <v>1813.4455642606677</v>
      </c>
    </row>
    <row r="30" spans="1:9" x14ac:dyDescent="0.25">
      <c r="A30" s="11">
        <f>IF(12&lt;=Nutzungsdauer, 12, "")</f>
        <v>12</v>
      </c>
      <c r="B30" s="11">
        <f t="shared" si="0"/>
        <v>10000</v>
      </c>
      <c r="C30" s="12">
        <f t="shared" si="1"/>
        <v>560</v>
      </c>
      <c r="D30" s="12">
        <f t="shared" si="2"/>
        <v>1497.0489311884876</v>
      </c>
      <c r="E30" s="12">
        <f t="shared" si="3"/>
        <v>200</v>
      </c>
      <c r="F30" s="12">
        <f t="shared" si="4"/>
        <v>1857.0489311884876</v>
      </c>
      <c r="G30" s="12">
        <f t="shared" si="6"/>
        <v>5668.6799708047492</v>
      </c>
      <c r="I30">
        <f t="shared" si="5"/>
        <v>1857.0489311884876</v>
      </c>
    </row>
    <row r="31" spans="1:9" x14ac:dyDescent="0.25">
      <c r="A31" s="11">
        <f>IF(13&lt;=Nutzungsdauer, 13, "")</f>
        <v>13</v>
      </c>
      <c r="B31" s="11">
        <f t="shared" si="0"/>
        <v>10000</v>
      </c>
      <c r="C31" s="12">
        <f t="shared" si="1"/>
        <v>560</v>
      </c>
      <c r="D31" s="12">
        <f t="shared" si="2"/>
        <v>1541.9603991241422</v>
      </c>
      <c r="E31" s="12">
        <f t="shared" si="3"/>
        <v>200</v>
      </c>
      <c r="F31" s="12">
        <f t="shared" si="4"/>
        <v>1901.960399124142</v>
      </c>
      <c r="G31" s="12">
        <f t="shared" si="6"/>
        <v>7570.6403699288912</v>
      </c>
      <c r="I31">
        <f t="shared" si="5"/>
        <v>1901.960399124142</v>
      </c>
    </row>
    <row r="32" spans="1:9" x14ac:dyDescent="0.25">
      <c r="A32" s="11">
        <f>IF(14&lt;=Nutzungsdauer, 14, "")</f>
        <v>14</v>
      </c>
      <c r="B32" s="11">
        <f t="shared" si="0"/>
        <v>10000</v>
      </c>
      <c r="C32" s="12">
        <f t="shared" si="1"/>
        <v>560</v>
      </c>
      <c r="D32" s="12">
        <f t="shared" si="2"/>
        <v>1588.2192110978665</v>
      </c>
      <c r="E32" s="12">
        <f t="shared" si="3"/>
        <v>200</v>
      </c>
      <c r="F32" s="12">
        <f t="shared" si="4"/>
        <v>1948.2192110978667</v>
      </c>
      <c r="G32" s="12">
        <f t="shared" si="6"/>
        <v>9518.859581026758</v>
      </c>
      <c r="I32">
        <f t="shared" si="5"/>
        <v>1948.2192110978667</v>
      </c>
    </row>
    <row r="33" spans="1:9" x14ac:dyDescent="0.25">
      <c r="A33" s="11">
        <f>IF(15&lt;=Nutzungsdauer, 15, "")</f>
        <v>15</v>
      </c>
      <c r="B33" s="11">
        <f t="shared" si="0"/>
        <v>10000</v>
      </c>
      <c r="C33" s="12">
        <f t="shared" si="1"/>
        <v>560</v>
      </c>
      <c r="D33" s="12">
        <f t="shared" si="2"/>
        <v>1635.8657874308026</v>
      </c>
      <c r="E33" s="12">
        <f t="shared" si="3"/>
        <v>200</v>
      </c>
      <c r="F33" s="12">
        <f t="shared" si="4"/>
        <v>1995.8657874308028</v>
      </c>
      <c r="G33" s="12">
        <f t="shared" si="6"/>
        <v>11514.725368457561</v>
      </c>
      <c r="I33">
        <f t="shared" si="5"/>
        <v>1995.8657874308028</v>
      </c>
    </row>
    <row r="34" spans="1:9" x14ac:dyDescent="0.25">
      <c r="A34" s="11">
        <f>IF(16&lt;=Nutzungsdauer, 16, "")</f>
        <v>16</v>
      </c>
      <c r="B34" s="11">
        <f t="shared" si="0"/>
        <v>10000</v>
      </c>
      <c r="C34" s="12">
        <f t="shared" si="1"/>
        <v>560</v>
      </c>
      <c r="D34" s="12">
        <f t="shared" si="2"/>
        <v>1684.9417610537264</v>
      </c>
      <c r="E34" s="12">
        <f t="shared" si="3"/>
        <v>200</v>
      </c>
      <c r="F34" s="12">
        <f t="shared" si="4"/>
        <v>2044.9417610537266</v>
      </c>
      <c r="G34" s="12">
        <f t="shared" si="6"/>
        <v>13559.667129511286</v>
      </c>
      <c r="I34">
        <f t="shared" si="5"/>
        <v>2044.9417610537266</v>
      </c>
    </row>
    <row r="35" spans="1:9" x14ac:dyDescent="0.25">
      <c r="A35" s="11">
        <f>IF(17&lt;=Nutzungsdauer, 17, "")</f>
        <v>17</v>
      </c>
      <c r="B35" s="11">
        <f t="shared" si="0"/>
        <v>10000</v>
      </c>
      <c r="C35" s="12">
        <f t="shared" si="1"/>
        <v>560</v>
      </c>
      <c r="D35" s="12">
        <f t="shared" si="2"/>
        <v>1735.4900138853382</v>
      </c>
      <c r="E35" s="12">
        <f t="shared" si="3"/>
        <v>200</v>
      </c>
      <c r="F35" s="12">
        <f t="shared" si="4"/>
        <v>2095.4900138853382</v>
      </c>
      <c r="G35" s="12">
        <f t="shared" si="6"/>
        <v>15655.157143396624</v>
      </c>
      <c r="I35">
        <f t="shared" si="5"/>
        <v>2095.4900138853382</v>
      </c>
    </row>
    <row r="36" spans="1:9" x14ac:dyDescent="0.25">
      <c r="A36" s="11">
        <f>IF(18&lt;=Nutzungsdauer, 18, "")</f>
        <v>18</v>
      </c>
      <c r="B36" s="11">
        <f t="shared" si="0"/>
        <v>10000</v>
      </c>
      <c r="C36" s="12">
        <f t="shared" si="1"/>
        <v>560</v>
      </c>
      <c r="D36" s="12">
        <f t="shared" si="2"/>
        <v>1787.5547143018985</v>
      </c>
      <c r="E36" s="12">
        <f t="shared" si="3"/>
        <v>200</v>
      </c>
      <c r="F36" s="12">
        <f t="shared" si="4"/>
        <v>2147.5547143018985</v>
      </c>
      <c r="G36" s="12">
        <f t="shared" si="6"/>
        <v>17802.711857698523</v>
      </c>
      <c r="I36">
        <f t="shared" si="5"/>
        <v>2147.5547143018985</v>
      </c>
    </row>
    <row r="37" spans="1:9" x14ac:dyDescent="0.25">
      <c r="A37" s="11">
        <f>IF(19&lt;=Nutzungsdauer, 19, "")</f>
        <v>19</v>
      </c>
      <c r="B37" s="11">
        <f t="shared" si="0"/>
        <v>10000</v>
      </c>
      <c r="C37" s="12">
        <f t="shared" si="1"/>
        <v>560</v>
      </c>
      <c r="D37" s="12">
        <f t="shared" si="2"/>
        <v>1841.1813557309554</v>
      </c>
      <c r="E37" s="12">
        <f t="shared" si="3"/>
        <v>200</v>
      </c>
      <c r="F37" s="12">
        <f t="shared" si="4"/>
        <v>2201.1813557309551</v>
      </c>
      <c r="G37" s="12">
        <f t="shared" si="6"/>
        <v>20003.893213429477</v>
      </c>
      <c r="I37">
        <f t="shared" si="5"/>
        <v>2201.1813557309551</v>
      </c>
    </row>
    <row r="38" spans="1:9" x14ac:dyDescent="0.25">
      <c r="A38" s="11">
        <f>IF(20&lt;=Nutzungsdauer, 20, "")</f>
        <v>20</v>
      </c>
      <c r="B38" s="11">
        <f t="shared" si="0"/>
        <v>10000</v>
      </c>
      <c r="C38" s="12">
        <f t="shared" si="1"/>
        <v>560</v>
      </c>
      <c r="D38" s="12">
        <f t="shared" si="2"/>
        <v>1896.4167964028838</v>
      </c>
      <c r="E38" s="12">
        <f t="shared" si="3"/>
        <v>200</v>
      </c>
      <c r="F38" s="12">
        <f t="shared" si="4"/>
        <v>2256.4167964028838</v>
      </c>
      <c r="G38" s="12">
        <f t="shared" si="6"/>
        <v>22260.310009832363</v>
      </c>
      <c r="I38">
        <f t="shared" si="5"/>
        <v>2256.4167964028838</v>
      </c>
    </row>
    <row r="39" spans="1:9" x14ac:dyDescent="0.25">
      <c r="A39" s="11">
        <f>IF(21&lt;=Nutzungsdauer, 21, "")</f>
        <v>21</v>
      </c>
      <c r="B39" s="11">
        <f t="shared" si="0"/>
        <v>10000</v>
      </c>
      <c r="C39" s="12">
        <f t="shared" si="1"/>
        <v>560</v>
      </c>
      <c r="D39" s="12">
        <f t="shared" si="2"/>
        <v>1953.3093002949702</v>
      </c>
      <c r="E39" s="12">
        <f t="shared" si="3"/>
        <v>200</v>
      </c>
      <c r="F39" s="12">
        <f t="shared" si="4"/>
        <v>2313.3093002949699</v>
      </c>
      <c r="G39" s="12">
        <f t="shared" si="6"/>
        <v>24573.619310127331</v>
      </c>
      <c r="I39">
        <f t="shared" si="5"/>
        <v>2313.3093002949699</v>
      </c>
    </row>
    <row r="40" spans="1:9" x14ac:dyDescent="0.25">
      <c r="A40" s="11">
        <f>IF(22&lt;=Nutzungsdauer, 22, "")</f>
        <v>22</v>
      </c>
      <c r="B40" s="11">
        <f t="shared" si="0"/>
        <v>10000</v>
      </c>
      <c r="C40" s="12">
        <f t="shared" si="1"/>
        <v>560</v>
      </c>
      <c r="D40" s="12">
        <f t="shared" si="2"/>
        <v>2011.9085793038196</v>
      </c>
      <c r="E40" s="12">
        <f t="shared" si="3"/>
        <v>200</v>
      </c>
      <c r="F40" s="12">
        <f t="shared" si="4"/>
        <v>2371.9085793038194</v>
      </c>
      <c r="G40" s="12">
        <f t="shared" si="6"/>
        <v>26945.527889431149</v>
      </c>
      <c r="I40">
        <f t="shared" si="5"/>
        <v>2371.9085793038194</v>
      </c>
    </row>
    <row r="41" spans="1:9" x14ac:dyDescent="0.25">
      <c r="A41" s="11">
        <f>IF(23&lt;=Nutzungsdauer, 23, "")</f>
        <v>23</v>
      </c>
      <c r="B41" s="11">
        <f t="shared" si="0"/>
        <v>10000</v>
      </c>
      <c r="C41" s="12">
        <f t="shared" si="1"/>
        <v>560</v>
      </c>
      <c r="D41" s="12">
        <f t="shared" si="2"/>
        <v>2072.2658366829342</v>
      </c>
      <c r="E41" s="12">
        <f t="shared" si="3"/>
        <v>200</v>
      </c>
      <c r="F41" s="12">
        <f t="shared" si="4"/>
        <v>2432.2658366829342</v>
      </c>
      <c r="G41" s="12">
        <f t="shared" si="6"/>
        <v>29377.793726114083</v>
      </c>
      <c r="I41">
        <f t="shared" si="5"/>
        <v>2432.2658366829342</v>
      </c>
    </row>
    <row r="42" spans="1:9" x14ac:dyDescent="0.25">
      <c r="A42" s="11">
        <f>IF(24&lt;=Nutzungsdauer, 24, "")</f>
        <v>24</v>
      </c>
      <c r="B42" s="11">
        <f t="shared" si="0"/>
        <v>10000</v>
      </c>
      <c r="C42" s="12">
        <f t="shared" si="1"/>
        <v>560</v>
      </c>
      <c r="D42" s="12">
        <f t="shared" si="2"/>
        <v>2134.4338117834218</v>
      </c>
      <c r="E42" s="12">
        <f t="shared" si="3"/>
        <v>200</v>
      </c>
      <c r="F42" s="12">
        <f t="shared" si="4"/>
        <v>2494.4338117834218</v>
      </c>
      <c r="G42" s="12">
        <f t="shared" si="6"/>
        <v>31872.227537897506</v>
      </c>
      <c r="I42">
        <f t="shared" si="5"/>
        <v>2494.4338117834218</v>
      </c>
    </row>
    <row r="43" spans="1:9" x14ac:dyDescent="0.25">
      <c r="A43" s="11">
        <f>IF(25&lt;=Nutzungsdauer, 25, "")</f>
        <v>25</v>
      </c>
      <c r="B43" s="11">
        <f t="shared" si="0"/>
        <v>10000</v>
      </c>
      <c r="C43" s="12">
        <f t="shared" si="1"/>
        <v>560</v>
      </c>
      <c r="D43" s="12">
        <f t="shared" si="2"/>
        <v>2198.4668261369247</v>
      </c>
      <c r="E43" s="12">
        <f t="shared" si="3"/>
        <v>200</v>
      </c>
      <c r="F43" s="12">
        <f t="shared" si="4"/>
        <v>2558.4668261369247</v>
      </c>
      <c r="G43" s="12">
        <f t="shared" si="6"/>
        <v>34430.694364034433</v>
      </c>
      <c r="I43">
        <f t="shared" si="5"/>
        <v>2558.4668261369247</v>
      </c>
    </row>
  </sheetData>
  <mergeCells count="16">
    <mergeCell ref="A1:B1"/>
    <mergeCell ref="E1:F1"/>
    <mergeCell ref="E9:F12"/>
    <mergeCell ref="A16:H16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</mergeCells>
  <conditionalFormatting sqref="H19:H43">
    <cfRule type="cellIs" dxfId="0" priority="1" operator="greaterThanOrEqual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3"/>
  <sheetViews>
    <sheetView workbookViewId="0"/>
  </sheetViews>
  <sheetFormatPr baseColWidth="10" defaultColWidth="9.140625" defaultRowHeight="15" x14ac:dyDescent="0.25"/>
  <cols>
    <col min="1" max="1" width="100.7109375" customWidth="1"/>
  </cols>
  <sheetData>
    <row r="1" spans="1:1" ht="24" customHeight="1" x14ac:dyDescent="0.25">
      <c r="A1" s="1" t="s">
        <v>22</v>
      </c>
    </row>
    <row r="3" spans="1:1" x14ac:dyDescent="0.25">
      <c r="A3" s="13" t="s">
        <v>23</v>
      </c>
    </row>
    <row r="4" spans="1:1" ht="75" customHeight="1" x14ac:dyDescent="0.25">
      <c r="A4" s="14" t="s">
        <v>24</v>
      </c>
    </row>
    <row r="6" spans="1:1" x14ac:dyDescent="0.25">
      <c r="A6" s="13" t="s">
        <v>25</v>
      </c>
    </row>
    <row r="7" spans="1:1" ht="75" customHeight="1" x14ac:dyDescent="0.25">
      <c r="A7" s="14" t="s">
        <v>26</v>
      </c>
    </row>
    <row r="9" spans="1:1" x14ac:dyDescent="0.25">
      <c r="A9" s="13" t="s">
        <v>27</v>
      </c>
    </row>
    <row r="10" spans="1:1" ht="75" customHeight="1" x14ac:dyDescent="0.25">
      <c r="A10" s="14" t="s">
        <v>28</v>
      </c>
    </row>
    <row r="12" spans="1:1" x14ac:dyDescent="0.25">
      <c r="A12" s="13" t="s">
        <v>29</v>
      </c>
    </row>
    <row r="13" spans="1:1" ht="75" customHeight="1" x14ac:dyDescent="0.25">
      <c r="A13" s="14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Prognose</vt:lpstr>
      <vt:lpstr>Anleitung</vt:lpstr>
      <vt:lpstr>Anschaffungskosten</vt:lpstr>
      <vt:lpstr>Betriebskosten</vt:lpstr>
      <vt:lpstr>Diskontsatz</vt:lpstr>
      <vt:lpstr>Eigenverbrauchsanteil</vt:lpstr>
      <vt:lpstr>Einspeiseverguetung</vt:lpstr>
      <vt:lpstr>Foerdermittel</vt:lpstr>
      <vt:lpstr>Jahresertrag_Spez</vt:lpstr>
      <vt:lpstr>Leistung</vt:lpstr>
      <vt:lpstr>Nutzungsdauer</vt:lpstr>
      <vt:lpstr>Standort</vt:lpstr>
      <vt:lpstr>Strompreis_EV</vt:lpstr>
      <vt:lpstr>Strompreissteigerung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2025-08-05T10:15:08Z</dcterms:created>
  <dcterms:modified xsi:type="dcterms:W3CDTF">2025-08-06T17:17:54Z</dcterms:modified>
</cp:coreProperties>
</file>