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arameter" sheetId="1" r:id="rId1"/>
    <sheet name="Tilgungsplan" sheetId="2" r:id="rId2"/>
  </sheets>
  <definedNames>
    <definedName name="Darlehensbetrag">Parameter!$B$3</definedName>
    <definedName name="ErsteZahlungDatum">Parameter!$B$8</definedName>
    <definedName name="Jahreszins">Parameter!$B$4</definedName>
    <definedName name="LaufzeitJahre">Parameter!$B$5</definedName>
    <definedName name="Rate">Parameter!$B$10</definedName>
    <definedName name="Startdatum">Parameter!$B$7</definedName>
    <definedName name="ZahlungenProJahr">Parameter!$C$6</definedName>
  </definedName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B3" authorId="0">
      <text>
        <r>
          <rPr>
            <sz val="8"/>
            <color indexed="81"/>
            <rFont val="Tahoma"/>
            <family val="2"/>
          </rPr>
          <t>Geben Sie den gesamten Darlehensbetrag ein.</t>
        </r>
      </text>
    </comment>
    <comment ref="B4" authorId="0">
      <text>
        <r>
          <rPr>
            <sz val="8"/>
            <color indexed="81"/>
            <rFont val="Tahoma"/>
            <family val="2"/>
          </rPr>
          <t>Geben Sie den nominalen Jahreszinssatz ein (z.B. 3,5%).</t>
        </r>
      </text>
    </comment>
    <comment ref="B5" authorId="0">
      <text>
        <r>
          <rPr>
            <sz val="8"/>
            <color indexed="81"/>
            <rFont val="Tahoma"/>
            <family val="2"/>
          </rPr>
          <t>Geben Sie die Darlehenslaufzeit in vollen Jahren ein.</t>
        </r>
      </text>
    </comment>
    <comment ref="B6" authorId="0">
      <text>
        <r>
          <rPr>
            <sz val="8"/>
            <color indexed="81"/>
            <rFont val="Tahoma"/>
            <family val="2"/>
          </rPr>
          <t>Wählen Sie die Häufigkeit der Ratenzahlungen.</t>
        </r>
      </text>
    </comment>
    <comment ref="B8" authorId="0">
      <text>
        <r>
          <rPr>
            <sz val="8"/>
            <color indexed="81"/>
            <rFont val="Tahoma"/>
            <family val="2"/>
          </rPr>
          <t>Datum der ersten Ratenzahlung.</t>
        </r>
      </text>
    </comment>
  </commentList>
</comments>
</file>

<file path=xl/sharedStrings.xml><?xml version="1.0" encoding="utf-8"?>
<sst xmlns="http://schemas.openxmlformats.org/spreadsheetml/2006/main" count="23" uniqueCount="23">
  <si>
    <t>Kreditrechner</t>
  </si>
  <si>
    <t>Darlehensbetrag</t>
  </si>
  <si>
    <t>Jährlicher Zinssatz (%)</t>
  </si>
  <si>
    <t>Laufzeit (Jahre)</t>
  </si>
  <si>
    <t>Zahlungshäufigkeit</t>
  </si>
  <si>
    <t>monatlich</t>
  </si>
  <si>
    <t>Startdatum des Darlehens</t>
  </si>
  <si>
    <t>2024-01-01</t>
  </si>
  <si>
    <t>Erstes Zahlungsdatum</t>
  </si>
  <si>
    <t>2024-02-01</t>
  </si>
  <si>
    <t>Berechnete Rate</t>
  </si>
  <si>
    <t>Gesamtzahlung (inkl. Sonder)</t>
  </si>
  <si>
    <t>Gesamte Zinslast</t>
  </si>
  <si>
    <t>Ersparnis durch Sondertilgungen</t>
  </si>
  <si>
    <t>Periode #</t>
  </si>
  <si>
    <t>Zahlungsdatum</t>
  </si>
  <si>
    <t>Anfangssaldo</t>
  </si>
  <si>
    <t>Regelmäßige Rate</t>
  </si>
  <si>
    <t>Zinsanteil</t>
  </si>
  <si>
    <t>Tilgungsanteil</t>
  </si>
  <si>
    <t>Sondertilgung</t>
  </si>
  <si>
    <t>Gesamttilgung</t>
  </si>
  <si>
    <t>Restschuld</t>
  </si>
</sst>
</file>

<file path=xl/styles.xml><?xml version="1.0" encoding="utf-8"?>
<styleSheet xmlns="http://schemas.openxmlformats.org/spreadsheetml/2006/main">
  <numFmts count="3">
    <numFmt numFmtId="164" formatCode="#,##0.00 €"/>
    <numFmt numFmtId="165" formatCode="0.00%"/>
    <numFmt numFmtId="166" formatCode="dd.mm.yyyy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6" fontId="0" fillId="4" borderId="1" xfId="0" applyNumberForma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66" fontId="0" fillId="0" borderId="0" xfId="0" applyNumberFormat="1"/>
    <xf numFmtId="164" fontId="0" fillId="0" borderId="0" xfId="0" applyNumberFormat="1"/>
    <xf numFmtId="164" fontId="0" fillId="4" borderId="0" xfId="0" applyNumberFormat="1" applyFill="1"/>
  </cellXfs>
  <cellStyles count="1">
    <cellStyle name="Normal" xfId="0" builtinId="0"/>
  </cellStyles>
  <dxfs count="1">
    <dxf>
      <font>
        <b/>
        <color rgb="FF006100"/>
      </font>
      <fill>
        <patternFill>
          <bgColor rgb="FFC6E0B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Verlauf der Restschuld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Restschuldverlauf</c:v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cat>
            <c:numRef>
              <c:f>Tilgungsplan!$B$2:$B$481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cat>
          <c:val>
            <c:numRef>
              <c:f>Tilgungsplan!$I$2:$I$481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val>
        </c:ser>
        <c:marker val="1"/>
        <c:axId val="50010001"/>
        <c:axId val="50010002"/>
      </c:lineChart>
      <c:date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layout/>
        </c:title>
        <c:numFmt formatCode="mmm yyyy" sourceLinked="0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Restschuld (€)</a:t>
                </a:r>
              </a:p>
            </c:rich>
          </c:tx>
          <c:layout/>
        </c:title>
        <c:numFmt formatCode="#,##0 €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21</xdr:col>
      <xdr:colOff>152400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/>
  </sheetViews>
  <sheetFormatPr defaultRowHeight="15"/>
  <cols>
    <col min="1" max="1" width="30.7109375" customWidth="1"/>
    <col min="2" max="2" width="20.7109375" customWidth="1"/>
    <col min="3" max="3" width="5.7109375" hidden="1" customWidth="1"/>
  </cols>
  <sheetData>
    <row r="1" spans="1:3" ht="25" customHeight="1">
      <c r="A1" s="1" t="s">
        <v>0</v>
      </c>
      <c r="B1" s="1"/>
    </row>
    <row r="3" spans="1:3" ht="20" customHeight="1">
      <c r="A3" s="2" t="s">
        <v>1</v>
      </c>
      <c r="B3" s="3">
        <v>100000</v>
      </c>
    </row>
    <row r="4" spans="1:3" ht="20" customHeight="1">
      <c r="A4" s="2" t="s">
        <v>2</v>
      </c>
      <c r="B4" s="4">
        <v>0.035</v>
      </c>
    </row>
    <row r="5" spans="1:3" ht="20" customHeight="1">
      <c r="A5" s="2" t="s">
        <v>3</v>
      </c>
      <c r="B5" s="5">
        <v>20</v>
      </c>
    </row>
    <row r="6" spans="1:3" ht="20" customHeight="1">
      <c r="A6" s="2" t="s">
        <v>4</v>
      </c>
      <c r="B6" s="6" t="s">
        <v>5</v>
      </c>
      <c r="C6">
        <f>IF(B6="monatlich",12,IF(B6="vierteljährlich",4,1))</f>
        <v>0</v>
      </c>
    </row>
    <row r="7" spans="1:3" ht="20" customHeight="1">
      <c r="A7" s="2" t="s">
        <v>6</v>
      </c>
      <c r="B7" s="7" t="s">
        <v>7</v>
      </c>
    </row>
    <row r="8" spans="1:3" ht="20" customHeight="1">
      <c r="A8" s="2" t="s">
        <v>8</v>
      </c>
      <c r="B8" s="7" t="s">
        <v>9</v>
      </c>
    </row>
    <row r="9" spans="1:3" ht="20" customHeight="1"/>
    <row r="10" spans="1:3" ht="20" customHeight="1">
      <c r="A10" s="8" t="s">
        <v>10</v>
      </c>
      <c r="B10" s="9">
        <f>-PMT(Jahreszins/ZahlungenProJahr, LaufzeitJahre*ZahlungenProJahr, Darlehensbetrag)</f>
        <v>0</v>
      </c>
    </row>
    <row r="11" spans="1:3" ht="20" customHeight="1">
      <c r="A11" s="8" t="s">
        <v>11</v>
      </c>
      <c r="B11" s="9">
        <f>SUM(Tilgungsplan!D:D) + SUM(Tilgungsplan!G:G)</f>
        <v>0</v>
      </c>
    </row>
    <row r="12" spans="1:3" ht="20" customHeight="1">
      <c r="A12" s="8" t="s">
        <v>12</v>
      </c>
      <c r="B12" s="9">
        <f>SUM(Tilgungsplan!E:E)</f>
        <v>0</v>
      </c>
    </row>
    <row r="13" spans="1:3" ht="20" customHeight="1">
      <c r="A13" s="8" t="s">
        <v>13</v>
      </c>
      <c r="B13" s="9">
        <f>((Rate*LaufzeitJahre*ZahlungenProJahr)-Darlehensbetrag) - SUM(Tilgungsplan!E:E)</f>
        <v>0</v>
      </c>
    </row>
    <row r="14" spans="1:3" ht="20" customHeight="1"/>
  </sheetData>
  <mergeCells count="1">
    <mergeCell ref="A1:B1"/>
  </mergeCells>
  <dataValidations count="1">
    <dataValidation type="list" allowBlank="1" showInputMessage="1" showErrorMessage="1" sqref="B6">
      <formula1>"monatlich,vierteljährlich,jährlich"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5.7109375" customWidth="1"/>
    <col min="3" max="9" width="18.7109375" customWidth="1"/>
  </cols>
  <sheetData>
    <row r="1" spans="1:9" ht="20" customHeight="1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</row>
    <row r="2" spans="1:9">
      <c r="A2">
        <f>IF(C2&gt;0.01, 1, "")</f>
        <v>0</v>
      </c>
      <c r="B2" s="10">
        <f>IF(C2&gt;0.01,ErsteZahlungDatum,"")</f>
        <v>0</v>
      </c>
      <c r="C2" s="11">
        <f>Darlehensbetrag</f>
        <v>0</v>
      </c>
      <c r="D2" s="11">
        <f>IF(C2&gt;0.01, MIN(Rate, C2*(1+Jahreszins/ZahlungenProJahr)), 0)</f>
        <v>0</v>
      </c>
      <c r="E2" s="11">
        <f>IF(C2&gt;0.01, C2*Jahreszins/ZahlungenProJahr, 0)</f>
        <v>0</v>
      </c>
      <c r="F2" s="11">
        <f>IF(C2&gt;0.01, D2-E2, 0)</f>
        <v>0</v>
      </c>
      <c r="G2" s="12"/>
      <c r="H2" s="11">
        <f>SUM(F2,G2)</f>
        <v>0</v>
      </c>
      <c r="I2" s="11">
        <f>C2-H2</f>
        <v>0</v>
      </c>
    </row>
    <row r="3" spans="1:9">
      <c r="A3">
        <f>IF(C3&gt;0.01, 2, "")</f>
        <v>0</v>
      </c>
      <c r="B3" s="10">
        <f>IF(C3&gt;0.01,EDATE(B2,12/ZahlungenProJahr),"")</f>
        <v>0</v>
      </c>
      <c r="C3" s="11">
        <f>I2</f>
        <v>0</v>
      </c>
      <c r="D3" s="11">
        <f>IF(C3&gt;0.01, MIN(Rate, C3*(1+Jahreszins/ZahlungenProJahr)), 0)</f>
        <v>0</v>
      </c>
      <c r="E3" s="11">
        <f>IF(C3&gt;0.01, C3*Jahreszins/ZahlungenProJahr, 0)</f>
        <v>0</v>
      </c>
      <c r="F3" s="11">
        <f>IF(C3&gt;0.01, D3-E3, 0)</f>
        <v>0</v>
      </c>
      <c r="G3" s="12"/>
      <c r="H3" s="11">
        <f>SUM(F3,G3)</f>
        <v>0</v>
      </c>
      <c r="I3" s="11">
        <f>C3-H3</f>
        <v>0</v>
      </c>
    </row>
    <row r="4" spans="1:9">
      <c r="A4">
        <f>IF(C4&gt;0.01, 3, "")</f>
        <v>0</v>
      </c>
      <c r="B4" s="10">
        <f>IF(C4&gt;0.01,EDATE(B3,12/ZahlungenProJahr),"")</f>
        <v>0</v>
      </c>
      <c r="C4" s="11">
        <f>I3</f>
        <v>0</v>
      </c>
      <c r="D4" s="11">
        <f>IF(C4&gt;0.01, MIN(Rate, C4*(1+Jahreszins/ZahlungenProJahr)), 0)</f>
        <v>0</v>
      </c>
      <c r="E4" s="11">
        <f>IF(C4&gt;0.01, C4*Jahreszins/ZahlungenProJahr, 0)</f>
        <v>0</v>
      </c>
      <c r="F4" s="11">
        <f>IF(C4&gt;0.01, D4-E4, 0)</f>
        <v>0</v>
      </c>
      <c r="G4" s="12"/>
      <c r="H4" s="11">
        <f>SUM(F4,G4)</f>
        <v>0</v>
      </c>
      <c r="I4" s="11">
        <f>C4-H4</f>
        <v>0</v>
      </c>
    </row>
    <row r="5" spans="1:9">
      <c r="A5">
        <f>IF(C5&gt;0.01, 4, "")</f>
        <v>0</v>
      </c>
      <c r="B5" s="10">
        <f>IF(C5&gt;0.01,EDATE(B4,12/ZahlungenProJahr),"")</f>
        <v>0</v>
      </c>
      <c r="C5" s="11">
        <f>I4</f>
        <v>0</v>
      </c>
      <c r="D5" s="11">
        <f>IF(C5&gt;0.01, MIN(Rate, C5*(1+Jahreszins/ZahlungenProJahr)), 0)</f>
        <v>0</v>
      </c>
      <c r="E5" s="11">
        <f>IF(C5&gt;0.01, C5*Jahreszins/ZahlungenProJahr, 0)</f>
        <v>0</v>
      </c>
      <c r="F5" s="11">
        <f>IF(C5&gt;0.01, D5-E5, 0)</f>
        <v>0</v>
      </c>
      <c r="G5" s="12"/>
      <c r="H5" s="11">
        <f>SUM(F5,G5)</f>
        <v>0</v>
      </c>
      <c r="I5" s="11">
        <f>C5-H5</f>
        <v>0</v>
      </c>
    </row>
    <row r="6" spans="1:9">
      <c r="A6">
        <f>IF(C6&gt;0.01, 5, "")</f>
        <v>0</v>
      </c>
      <c r="B6" s="10">
        <f>IF(C6&gt;0.01,EDATE(B5,12/ZahlungenProJahr),"")</f>
        <v>0</v>
      </c>
      <c r="C6" s="11">
        <f>I5</f>
        <v>0</v>
      </c>
      <c r="D6" s="11">
        <f>IF(C6&gt;0.01, MIN(Rate, C6*(1+Jahreszins/ZahlungenProJahr)), 0)</f>
        <v>0</v>
      </c>
      <c r="E6" s="11">
        <f>IF(C6&gt;0.01, C6*Jahreszins/ZahlungenProJahr, 0)</f>
        <v>0</v>
      </c>
      <c r="F6" s="11">
        <f>IF(C6&gt;0.01, D6-E6, 0)</f>
        <v>0</v>
      </c>
      <c r="G6" s="12"/>
      <c r="H6" s="11">
        <f>SUM(F6,G6)</f>
        <v>0</v>
      </c>
      <c r="I6" s="11">
        <f>C6-H6</f>
        <v>0</v>
      </c>
    </row>
    <row r="7" spans="1:9">
      <c r="A7">
        <f>IF(C7&gt;0.01, 6, "")</f>
        <v>0</v>
      </c>
      <c r="B7" s="10">
        <f>IF(C7&gt;0.01,EDATE(B6,12/ZahlungenProJahr),"")</f>
        <v>0</v>
      </c>
      <c r="C7" s="11">
        <f>I6</f>
        <v>0</v>
      </c>
      <c r="D7" s="11">
        <f>IF(C7&gt;0.01, MIN(Rate, C7*(1+Jahreszins/ZahlungenProJahr)), 0)</f>
        <v>0</v>
      </c>
      <c r="E7" s="11">
        <f>IF(C7&gt;0.01, C7*Jahreszins/ZahlungenProJahr, 0)</f>
        <v>0</v>
      </c>
      <c r="F7" s="11">
        <f>IF(C7&gt;0.01, D7-E7, 0)</f>
        <v>0</v>
      </c>
      <c r="G7" s="12"/>
      <c r="H7" s="11">
        <f>SUM(F7,G7)</f>
        <v>0</v>
      </c>
      <c r="I7" s="11">
        <f>C7-H7</f>
        <v>0</v>
      </c>
    </row>
    <row r="8" spans="1:9">
      <c r="A8">
        <f>IF(C8&gt;0.01, 7, "")</f>
        <v>0</v>
      </c>
      <c r="B8" s="10">
        <f>IF(C8&gt;0.01,EDATE(B7,12/ZahlungenProJahr),"")</f>
        <v>0</v>
      </c>
      <c r="C8" s="11">
        <f>I7</f>
        <v>0</v>
      </c>
      <c r="D8" s="11">
        <f>IF(C8&gt;0.01, MIN(Rate, C8*(1+Jahreszins/ZahlungenProJahr)), 0)</f>
        <v>0</v>
      </c>
      <c r="E8" s="11">
        <f>IF(C8&gt;0.01, C8*Jahreszins/ZahlungenProJahr, 0)</f>
        <v>0</v>
      </c>
      <c r="F8" s="11">
        <f>IF(C8&gt;0.01, D8-E8, 0)</f>
        <v>0</v>
      </c>
      <c r="G8" s="12"/>
      <c r="H8" s="11">
        <f>SUM(F8,G8)</f>
        <v>0</v>
      </c>
      <c r="I8" s="11">
        <f>C8-H8</f>
        <v>0</v>
      </c>
    </row>
    <row r="9" spans="1:9">
      <c r="A9">
        <f>IF(C9&gt;0.01, 8, "")</f>
        <v>0</v>
      </c>
      <c r="B9" s="10">
        <f>IF(C9&gt;0.01,EDATE(B8,12/ZahlungenProJahr),"")</f>
        <v>0</v>
      </c>
      <c r="C9" s="11">
        <f>I8</f>
        <v>0</v>
      </c>
      <c r="D9" s="11">
        <f>IF(C9&gt;0.01, MIN(Rate, C9*(1+Jahreszins/ZahlungenProJahr)), 0)</f>
        <v>0</v>
      </c>
      <c r="E9" s="11">
        <f>IF(C9&gt;0.01, C9*Jahreszins/ZahlungenProJahr, 0)</f>
        <v>0</v>
      </c>
      <c r="F9" s="11">
        <f>IF(C9&gt;0.01, D9-E9, 0)</f>
        <v>0</v>
      </c>
      <c r="G9" s="12"/>
      <c r="H9" s="11">
        <f>SUM(F9,G9)</f>
        <v>0</v>
      </c>
      <c r="I9" s="11">
        <f>C9-H9</f>
        <v>0</v>
      </c>
    </row>
    <row r="10" spans="1:9">
      <c r="A10">
        <f>IF(C10&gt;0.01, 9, "")</f>
        <v>0</v>
      </c>
      <c r="B10" s="10">
        <f>IF(C10&gt;0.01,EDATE(B9,12/ZahlungenProJahr),"")</f>
        <v>0</v>
      </c>
      <c r="C10" s="11">
        <f>I9</f>
        <v>0</v>
      </c>
      <c r="D10" s="11">
        <f>IF(C10&gt;0.01, MIN(Rate, C10*(1+Jahreszins/ZahlungenProJahr)), 0)</f>
        <v>0</v>
      </c>
      <c r="E10" s="11">
        <f>IF(C10&gt;0.01, C10*Jahreszins/ZahlungenProJahr, 0)</f>
        <v>0</v>
      </c>
      <c r="F10" s="11">
        <f>IF(C10&gt;0.01, D10-E10, 0)</f>
        <v>0</v>
      </c>
      <c r="G10" s="12"/>
      <c r="H10" s="11">
        <f>SUM(F10,G10)</f>
        <v>0</v>
      </c>
      <c r="I10" s="11">
        <f>C10-H10</f>
        <v>0</v>
      </c>
    </row>
    <row r="11" spans="1:9">
      <c r="A11">
        <f>IF(C11&gt;0.01, 10, "")</f>
        <v>0</v>
      </c>
      <c r="B11" s="10">
        <f>IF(C11&gt;0.01,EDATE(B10,12/ZahlungenProJahr),"")</f>
        <v>0</v>
      </c>
      <c r="C11" s="11">
        <f>I10</f>
        <v>0</v>
      </c>
      <c r="D11" s="11">
        <f>IF(C11&gt;0.01, MIN(Rate, C11*(1+Jahreszins/ZahlungenProJahr)), 0)</f>
        <v>0</v>
      </c>
      <c r="E11" s="11">
        <f>IF(C11&gt;0.01, C11*Jahreszins/ZahlungenProJahr, 0)</f>
        <v>0</v>
      </c>
      <c r="F11" s="11">
        <f>IF(C11&gt;0.01, D11-E11, 0)</f>
        <v>0</v>
      </c>
      <c r="G11" s="12"/>
      <c r="H11" s="11">
        <f>SUM(F11,G11)</f>
        <v>0</v>
      </c>
      <c r="I11" s="11">
        <f>C11-H11</f>
        <v>0</v>
      </c>
    </row>
    <row r="12" spans="1:9">
      <c r="A12">
        <f>IF(C12&gt;0.01, 11, "")</f>
        <v>0</v>
      </c>
      <c r="B12" s="10">
        <f>IF(C12&gt;0.01,EDATE(B11,12/ZahlungenProJahr),"")</f>
        <v>0</v>
      </c>
      <c r="C12" s="11">
        <f>I11</f>
        <v>0</v>
      </c>
      <c r="D12" s="11">
        <f>IF(C12&gt;0.01, MIN(Rate, C12*(1+Jahreszins/ZahlungenProJahr)), 0)</f>
        <v>0</v>
      </c>
      <c r="E12" s="11">
        <f>IF(C12&gt;0.01, C12*Jahreszins/ZahlungenProJahr, 0)</f>
        <v>0</v>
      </c>
      <c r="F12" s="11">
        <f>IF(C12&gt;0.01, D12-E12, 0)</f>
        <v>0</v>
      </c>
      <c r="G12" s="12"/>
      <c r="H12" s="11">
        <f>SUM(F12,G12)</f>
        <v>0</v>
      </c>
      <c r="I12" s="11">
        <f>C12-H12</f>
        <v>0</v>
      </c>
    </row>
    <row r="13" spans="1:9">
      <c r="A13">
        <f>IF(C13&gt;0.01, 12, "")</f>
        <v>0</v>
      </c>
      <c r="B13" s="10">
        <f>IF(C13&gt;0.01,EDATE(B12,12/ZahlungenProJahr),"")</f>
        <v>0</v>
      </c>
      <c r="C13" s="11">
        <f>I12</f>
        <v>0</v>
      </c>
      <c r="D13" s="11">
        <f>IF(C13&gt;0.01, MIN(Rate, C13*(1+Jahreszins/ZahlungenProJahr)), 0)</f>
        <v>0</v>
      </c>
      <c r="E13" s="11">
        <f>IF(C13&gt;0.01, C13*Jahreszins/ZahlungenProJahr, 0)</f>
        <v>0</v>
      </c>
      <c r="F13" s="11">
        <f>IF(C13&gt;0.01, D13-E13, 0)</f>
        <v>0</v>
      </c>
      <c r="G13" s="12"/>
      <c r="H13" s="11">
        <f>SUM(F13,G13)</f>
        <v>0</v>
      </c>
      <c r="I13" s="11">
        <f>C13-H13</f>
        <v>0</v>
      </c>
    </row>
    <row r="14" spans="1:9">
      <c r="A14">
        <f>IF(C14&gt;0.01, 13, "")</f>
        <v>0</v>
      </c>
      <c r="B14" s="10">
        <f>IF(C14&gt;0.01,EDATE(B13,12/ZahlungenProJahr),"")</f>
        <v>0</v>
      </c>
      <c r="C14" s="11">
        <f>I13</f>
        <v>0</v>
      </c>
      <c r="D14" s="11">
        <f>IF(C14&gt;0.01, MIN(Rate, C14*(1+Jahreszins/ZahlungenProJahr)), 0)</f>
        <v>0</v>
      </c>
      <c r="E14" s="11">
        <f>IF(C14&gt;0.01, C14*Jahreszins/ZahlungenProJahr, 0)</f>
        <v>0</v>
      </c>
      <c r="F14" s="11">
        <f>IF(C14&gt;0.01, D14-E14, 0)</f>
        <v>0</v>
      </c>
      <c r="G14" s="12"/>
      <c r="H14" s="11">
        <f>SUM(F14,G14)</f>
        <v>0</v>
      </c>
      <c r="I14" s="11">
        <f>C14-H14</f>
        <v>0</v>
      </c>
    </row>
    <row r="15" spans="1:9">
      <c r="A15">
        <f>IF(C15&gt;0.01, 14, "")</f>
        <v>0</v>
      </c>
      <c r="B15" s="10">
        <f>IF(C15&gt;0.01,EDATE(B14,12/ZahlungenProJahr),"")</f>
        <v>0</v>
      </c>
      <c r="C15" s="11">
        <f>I14</f>
        <v>0</v>
      </c>
      <c r="D15" s="11">
        <f>IF(C15&gt;0.01, MIN(Rate, C15*(1+Jahreszins/ZahlungenProJahr)), 0)</f>
        <v>0</v>
      </c>
      <c r="E15" s="11">
        <f>IF(C15&gt;0.01, C15*Jahreszins/ZahlungenProJahr, 0)</f>
        <v>0</v>
      </c>
      <c r="F15" s="11">
        <f>IF(C15&gt;0.01, D15-E15, 0)</f>
        <v>0</v>
      </c>
      <c r="G15" s="12"/>
      <c r="H15" s="11">
        <f>SUM(F15,G15)</f>
        <v>0</v>
      </c>
      <c r="I15" s="11">
        <f>C15-H15</f>
        <v>0</v>
      </c>
    </row>
    <row r="16" spans="1:9">
      <c r="A16">
        <f>IF(C16&gt;0.01, 15, "")</f>
        <v>0</v>
      </c>
      <c r="B16" s="10">
        <f>IF(C16&gt;0.01,EDATE(B15,12/ZahlungenProJahr),"")</f>
        <v>0</v>
      </c>
      <c r="C16" s="11">
        <f>I15</f>
        <v>0</v>
      </c>
      <c r="D16" s="11">
        <f>IF(C16&gt;0.01, MIN(Rate, C16*(1+Jahreszins/ZahlungenProJahr)), 0)</f>
        <v>0</v>
      </c>
      <c r="E16" s="11">
        <f>IF(C16&gt;0.01, C16*Jahreszins/ZahlungenProJahr, 0)</f>
        <v>0</v>
      </c>
      <c r="F16" s="11">
        <f>IF(C16&gt;0.01, D16-E16, 0)</f>
        <v>0</v>
      </c>
      <c r="G16" s="12"/>
      <c r="H16" s="11">
        <f>SUM(F16,G16)</f>
        <v>0</v>
      </c>
      <c r="I16" s="11">
        <f>C16-H16</f>
        <v>0</v>
      </c>
    </row>
    <row r="17" spans="1:9">
      <c r="A17">
        <f>IF(C17&gt;0.01, 16, "")</f>
        <v>0</v>
      </c>
      <c r="B17" s="10">
        <f>IF(C17&gt;0.01,EDATE(B16,12/ZahlungenProJahr),"")</f>
        <v>0</v>
      </c>
      <c r="C17" s="11">
        <f>I16</f>
        <v>0</v>
      </c>
      <c r="D17" s="11">
        <f>IF(C17&gt;0.01, MIN(Rate, C17*(1+Jahreszins/ZahlungenProJahr)), 0)</f>
        <v>0</v>
      </c>
      <c r="E17" s="11">
        <f>IF(C17&gt;0.01, C17*Jahreszins/ZahlungenProJahr, 0)</f>
        <v>0</v>
      </c>
      <c r="F17" s="11">
        <f>IF(C17&gt;0.01, D17-E17, 0)</f>
        <v>0</v>
      </c>
      <c r="G17" s="12"/>
      <c r="H17" s="11">
        <f>SUM(F17,G17)</f>
        <v>0</v>
      </c>
      <c r="I17" s="11">
        <f>C17-H17</f>
        <v>0</v>
      </c>
    </row>
    <row r="18" spans="1:9">
      <c r="A18">
        <f>IF(C18&gt;0.01, 17, "")</f>
        <v>0</v>
      </c>
      <c r="B18" s="10">
        <f>IF(C18&gt;0.01,EDATE(B17,12/ZahlungenProJahr),"")</f>
        <v>0</v>
      </c>
      <c r="C18" s="11">
        <f>I17</f>
        <v>0</v>
      </c>
      <c r="D18" s="11">
        <f>IF(C18&gt;0.01, MIN(Rate, C18*(1+Jahreszins/ZahlungenProJahr)), 0)</f>
        <v>0</v>
      </c>
      <c r="E18" s="11">
        <f>IF(C18&gt;0.01, C18*Jahreszins/ZahlungenProJahr, 0)</f>
        <v>0</v>
      </c>
      <c r="F18" s="11">
        <f>IF(C18&gt;0.01, D18-E18, 0)</f>
        <v>0</v>
      </c>
      <c r="G18" s="12"/>
      <c r="H18" s="11">
        <f>SUM(F18,G18)</f>
        <v>0</v>
      </c>
      <c r="I18" s="11">
        <f>C18-H18</f>
        <v>0</v>
      </c>
    </row>
    <row r="19" spans="1:9">
      <c r="A19">
        <f>IF(C19&gt;0.01, 18, "")</f>
        <v>0</v>
      </c>
      <c r="B19" s="10">
        <f>IF(C19&gt;0.01,EDATE(B18,12/ZahlungenProJahr),"")</f>
        <v>0</v>
      </c>
      <c r="C19" s="11">
        <f>I18</f>
        <v>0</v>
      </c>
      <c r="D19" s="11">
        <f>IF(C19&gt;0.01, MIN(Rate, C19*(1+Jahreszins/ZahlungenProJahr)), 0)</f>
        <v>0</v>
      </c>
      <c r="E19" s="11">
        <f>IF(C19&gt;0.01, C19*Jahreszins/ZahlungenProJahr, 0)</f>
        <v>0</v>
      </c>
      <c r="F19" s="11">
        <f>IF(C19&gt;0.01, D19-E19, 0)</f>
        <v>0</v>
      </c>
      <c r="G19" s="12"/>
      <c r="H19" s="11">
        <f>SUM(F19,G19)</f>
        <v>0</v>
      </c>
      <c r="I19" s="11">
        <f>C19-H19</f>
        <v>0</v>
      </c>
    </row>
    <row r="20" spans="1:9">
      <c r="A20">
        <f>IF(C20&gt;0.01, 19, "")</f>
        <v>0</v>
      </c>
      <c r="B20" s="10">
        <f>IF(C20&gt;0.01,EDATE(B19,12/ZahlungenProJahr),"")</f>
        <v>0</v>
      </c>
      <c r="C20" s="11">
        <f>I19</f>
        <v>0</v>
      </c>
      <c r="D20" s="11">
        <f>IF(C20&gt;0.01, MIN(Rate, C20*(1+Jahreszins/ZahlungenProJahr)), 0)</f>
        <v>0</v>
      </c>
      <c r="E20" s="11">
        <f>IF(C20&gt;0.01, C20*Jahreszins/ZahlungenProJahr, 0)</f>
        <v>0</v>
      </c>
      <c r="F20" s="11">
        <f>IF(C20&gt;0.01, D20-E20, 0)</f>
        <v>0</v>
      </c>
      <c r="G20" s="12"/>
      <c r="H20" s="11">
        <f>SUM(F20,G20)</f>
        <v>0</v>
      </c>
      <c r="I20" s="11">
        <f>C20-H20</f>
        <v>0</v>
      </c>
    </row>
    <row r="21" spans="1:9">
      <c r="A21">
        <f>IF(C21&gt;0.01, 20, "")</f>
        <v>0</v>
      </c>
      <c r="B21" s="10">
        <f>IF(C21&gt;0.01,EDATE(B20,12/ZahlungenProJahr),"")</f>
        <v>0</v>
      </c>
      <c r="C21" s="11">
        <f>I20</f>
        <v>0</v>
      </c>
      <c r="D21" s="11">
        <f>IF(C21&gt;0.01, MIN(Rate, C21*(1+Jahreszins/ZahlungenProJahr)), 0)</f>
        <v>0</v>
      </c>
      <c r="E21" s="11">
        <f>IF(C21&gt;0.01, C21*Jahreszins/ZahlungenProJahr, 0)</f>
        <v>0</v>
      </c>
      <c r="F21" s="11">
        <f>IF(C21&gt;0.01, D21-E21, 0)</f>
        <v>0</v>
      </c>
      <c r="G21" s="12"/>
      <c r="H21" s="11">
        <f>SUM(F21,G21)</f>
        <v>0</v>
      </c>
      <c r="I21" s="11">
        <f>C21-H21</f>
        <v>0</v>
      </c>
    </row>
    <row r="22" spans="1:9">
      <c r="A22">
        <f>IF(C22&gt;0.01, 21, "")</f>
        <v>0</v>
      </c>
      <c r="B22" s="10">
        <f>IF(C22&gt;0.01,EDATE(B21,12/ZahlungenProJahr),"")</f>
        <v>0</v>
      </c>
      <c r="C22" s="11">
        <f>I21</f>
        <v>0</v>
      </c>
      <c r="D22" s="11">
        <f>IF(C22&gt;0.01, MIN(Rate, C22*(1+Jahreszins/ZahlungenProJahr)), 0)</f>
        <v>0</v>
      </c>
      <c r="E22" s="11">
        <f>IF(C22&gt;0.01, C22*Jahreszins/ZahlungenProJahr, 0)</f>
        <v>0</v>
      </c>
      <c r="F22" s="11">
        <f>IF(C22&gt;0.01, D22-E22, 0)</f>
        <v>0</v>
      </c>
      <c r="G22" s="12"/>
      <c r="H22" s="11">
        <f>SUM(F22,G22)</f>
        <v>0</v>
      </c>
      <c r="I22" s="11">
        <f>C22-H22</f>
        <v>0</v>
      </c>
    </row>
    <row r="23" spans="1:9">
      <c r="A23">
        <f>IF(C23&gt;0.01, 22, "")</f>
        <v>0</v>
      </c>
      <c r="B23" s="10">
        <f>IF(C23&gt;0.01,EDATE(B22,12/ZahlungenProJahr),"")</f>
        <v>0</v>
      </c>
      <c r="C23" s="11">
        <f>I22</f>
        <v>0</v>
      </c>
      <c r="D23" s="11">
        <f>IF(C23&gt;0.01, MIN(Rate, C23*(1+Jahreszins/ZahlungenProJahr)), 0)</f>
        <v>0</v>
      </c>
      <c r="E23" s="11">
        <f>IF(C23&gt;0.01, C23*Jahreszins/ZahlungenProJahr, 0)</f>
        <v>0</v>
      </c>
      <c r="F23" s="11">
        <f>IF(C23&gt;0.01, D23-E23, 0)</f>
        <v>0</v>
      </c>
      <c r="G23" s="12"/>
      <c r="H23" s="11">
        <f>SUM(F23,G23)</f>
        <v>0</v>
      </c>
      <c r="I23" s="11">
        <f>C23-H23</f>
        <v>0</v>
      </c>
    </row>
    <row r="24" spans="1:9">
      <c r="A24">
        <f>IF(C24&gt;0.01, 23, "")</f>
        <v>0</v>
      </c>
      <c r="B24" s="10">
        <f>IF(C24&gt;0.01,EDATE(B23,12/ZahlungenProJahr),"")</f>
        <v>0</v>
      </c>
      <c r="C24" s="11">
        <f>I23</f>
        <v>0</v>
      </c>
      <c r="D24" s="11">
        <f>IF(C24&gt;0.01, MIN(Rate, C24*(1+Jahreszins/ZahlungenProJahr)), 0)</f>
        <v>0</v>
      </c>
      <c r="E24" s="11">
        <f>IF(C24&gt;0.01, C24*Jahreszins/ZahlungenProJahr, 0)</f>
        <v>0</v>
      </c>
      <c r="F24" s="11">
        <f>IF(C24&gt;0.01, D24-E24, 0)</f>
        <v>0</v>
      </c>
      <c r="G24" s="12"/>
      <c r="H24" s="11">
        <f>SUM(F24,G24)</f>
        <v>0</v>
      </c>
      <c r="I24" s="11">
        <f>C24-H24</f>
        <v>0</v>
      </c>
    </row>
    <row r="25" spans="1:9">
      <c r="A25">
        <f>IF(C25&gt;0.01, 24, "")</f>
        <v>0</v>
      </c>
      <c r="B25" s="10">
        <f>IF(C25&gt;0.01,EDATE(B24,12/ZahlungenProJahr),"")</f>
        <v>0</v>
      </c>
      <c r="C25" s="11">
        <f>I24</f>
        <v>0</v>
      </c>
      <c r="D25" s="11">
        <f>IF(C25&gt;0.01, MIN(Rate, C25*(1+Jahreszins/ZahlungenProJahr)), 0)</f>
        <v>0</v>
      </c>
      <c r="E25" s="11">
        <f>IF(C25&gt;0.01, C25*Jahreszins/ZahlungenProJahr, 0)</f>
        <v>0</v>
      </c>
      <c r="F25" s="11">
        <f>IF(C25&gt;0.01, D25-E25, 0)</f>
        <v>0</v>
      </c>
      <c r="G25" s="12"/>
      <c r="H25" s="11">
        <f>SUM(F25,G25)</f>
        <v>0</v>
      </c>
      <c r="I25" s="11">
        <f>C25-H25</f>
        <v>0</v>
      </c>
    </row>
    <row r="26" spans="1:9">
      <c r="A26">
        <f>IF(C26&gt;0.01, 25, "")</f>
        <v>0</v>
      </c>
      <c r="B26" s="10">
        <f>IF(C26&gt;0.01,EDATE(B25,12/ZahlungenProJahr),"")</f>
        <v>0</v>
      </c>
      <c r="C26" s="11">
        <f>I25</f>
        <v>0</v>
      </c>
      <c r="D26" s="11">
        <f>IF(C26&gt;0.01, MIN(Rate, C26*(1+Jahreszins/ZahlungenProJahr)), 0)</f>
        <v>0</v>
      </c>
      <c r="E26" s="11">
        <f>IF(C26&gt;0.01, C26*Jahreszins/ZahlungenProJahr, 0)</f>
        <v>0</v>
      </c>
      <c r="F26" s="11">
        <f>IF(C26&gt;0.01, D26-E26, 0)</f>
        <v>0</v>
      </c>
      <c r="G26" s="12"/>
      <c r="H26" s="11">
        <f>SUM(F26,G26)</f>
        <v>0</v>
      </c>
      <c r="I26" s="11">
        <f>C26-H26</f>
        <v>0</v>
      </c>
    </row>
    <row r="27" spans="1:9">
      <c r="A27">
        <f>IF(C27&gt;0.01, 26, "")</f>
        <v>0</v>
      </c>
      <c r="B27" s="10">
        <f>IF(C27&gt;0.01,EDATE(B26,12/ZahlungenProJahr),"")</f>
        <v>0</v>
      </c>
      <c r="C27" s="11">
        <f>I26</f>
        <v>0</v>
      </c>
      <c r="D27" s="11">
        <f>IF(C27&gt;0.01, MIN(Rate, C27*(1+Jahreszins/ZahlungenProJahr)), 0)</f>
        <v>0</v>
      </c>
      <c r="E27" s="11">
        <f>IF(C27&gt;0.01, C27*Jahreszins/ZahlungenProJahr, 0)</f>
        <v>0</v>
      </c>
      <c r="F27" s="11">
        <f>IF(C27&gt;0.01, D27-E27, 0)</f>
        <v>0</v>
      </c>
      <c r="G27" s="12"/>
      <c r="H27" s="11">
        <f>SUM(F27,G27)</f>
        <v>0</v>
      </c>
      <c r="I27" s="11">
        <f>C27-H27</f>
        <v>0</v>
      </c>
    </row>
    <row r="28" spans="1:9">
      <c r="A28">
        <f>IF(C28&gt;0.01, 27, "")</f>
        <v>0</v>
      </c>
      <c r="B28" s="10">
        <f>IF(C28&gt;0.01,EDATE(B27,12/ZahlungenProJahr),"")</f>
        <v>0</v>
      </c>
      <c r="C28" s="11">
        <f>I27</f>
        <v>0</v>
      </c>
      <c r="D28" s="11">
        <f>IF(C28&gt;0.01, MIN(Rate, C28*(1+Jahreszins/ZahlungenProJahr)), 0)</f>
        <v>0</v>
      </c>
      <c r="E28" s="11">
        <f>IF(C28&gt;0.01, C28*Jahreszins/ZahlungenProJahr, 0)</f>
        <v>0</v>
      </c>
      <c r="F28" s="11">
        <f>IF(C28&gt;0.01, D28-E28, 0)</f>
        <v>0</v>
      </c>
      <c r="G28" s="12"/>
      <c r="H28" s="11">
        <f>SUM(F28,G28)</f>
        <v>0</v>
      </c>
      <c r="I28" s="11">
        <f>C28-H28</f>
        <v>0</v>
      </c>
    </row>
    <row r="29" spans="1:9">
      <c r="A29">
        <f>IF(C29&gt;0.01, 28, "")</f>
        <v>0</v>
      </c>
      <c r="B29" s="10">
        <f>IF(C29&gt;0.01,EDATE(B28,12/ZahlungenProJahr),"")</f>
        <v>0</v>
      </c>
      <c r="C29" s="11">
        <f>I28</f>
        <v>0</v>
      </c>
      <c r="D29" s="11">
        <f>IF(C29&gt;0.01, MIN(Rate, C29*(1+Jahreszins/ZahlungenProJahr)), 0)</f>
        <v>0</v>
      </c>
      <c r="E29" s="11">
        <f>IF(C29&gt;0.01, C29*Jahreszins/ZahlungenProJahr, 0)</f>
        <v>0</v>
      </c>
      <c r="F29" s="11">
        <f>IF(C29&gt;0.01, D29-E29, 0)</f>
        <v>0</v>
      </c>
      <c r="G29" s="12"/>
      <c r="H29" s="11">
        <f>SUM(F29,G29)</f>
        <v>0</v>
      </c>
      <c r="I29" s="11">
        <f>C29-H29</f>
        <v>0</v>
      </c>
    </row>
    <row r="30" spans="1:9">
      <c r="A30">
        <f>IF(C30&gt;0.01, 29, "")</f>
        <v>0</v>
      </c>
      <c r="B30" s="10">
        <f>IF(C30&gt;0.01,EDATE(B29,12/ZahlungenProJahr),"")</f>
        <v>0</v>
      </c>
      <c r="C30" s="11">
        <f>I29</f>
        <v>0</v>
      </c>
      <c r="D30" s="11">
        <f>IF(C30&gt;0.01, MIN(Rate, C30*(1+Jahreszins/ZahlungenProJahr)), 0)</f>
        <v>0</v>
      </c>
      <c r="E30" s="11">
        <f>IF(C30&gt;0.01, C30*Jahreszins/ZahlungenProJahr, 0)</f>
        <v>0</v>
      </c>
      <c r="F30" s="11">
        <f>IF(C30&gt;0.01, D30-E30, 0)</f>
        <v>0</v>
      </c>
      <c r="G30" s="12"/>
      <c r="H30" s="11">
        <f>SUM(F30,G30)</f>
        <v>0</v>
      </c>
      <c r="I30" s="11">
        <f>C30-H30</f>
        <v>0</v>
      </c>
    </row>
    <row r="31" spans="1:9">
      <c r="A31">
        <f>IF(C31&gt;0.01, 30, "")</f>
        <v>0</v>
      </c>
      <c r="B31" s="10">
        <f>IF(C31&gt;0.01,EDATE(B30,12/ZahlungenProJahr),"")</f>
        <v>0</v>
      </c>
      <c r="C31" s="11">
        <f>I30</f>
        <v>0</v>
      </c>
      <c r="D31" s="11">
        <f>IF(C31&gt;0.01, MIN(Rate, C31*(1+Jahreszins/ZahlungenProJahr)), 0)</f>
        <v>0</v>
      </c>
      <c r="E31" s="11">
        <f>IF(C31&gt;0.01, C31*Jahreszins/ZahlungenProJahr, 0)</f>
        <v>0</v>
      </c>
      <c r="F31" s="11">
        <f>IF(C31&gt;0.01, D31-E31, 0)</f>
        <v>0</v>
      </c>
      <c r="G31" s="12"/>
      <c r="H31" s="11">
        <f>SUM(F31,G31)</f>
        <v>0</v>
      </c>
      <c r="I31" s="11">
        <f>C31-H31</f>
        <v>0</v>
      </c>
    </row>
    <row r="32" spans="1:9">
      <c r="A32">
        <f>IF(C32&gt;0.01, 31, "")</f>
        <v>0</v>
      </c>
      <c r="B32" s="10">
        <f>IF(C32&gt;0.01,EDATE(B31,12/ZahlungenProJahr),"")</f>
        <v>0</v>
      </c>
      <c r="C32" s="11">
        <f>I31</f>
        <v>0</v>
      </c>
      <c r="D32" s="11">
        <f>IF(C32&gt;0.01, MIN(Rate, C32*(1+Jahreszins/ZahlungenProJahr)), 0)</f>
        <v>0</v>
      </c>
      <c r="E32" s="11">
        <f>IF(C32&gt;0.01, C32*Jahreszins/ZahlungenProJahr, 0)</f>
        <v>0</v>
      </c>
      <c r="F32" s="11">
        <f>IF(C32&gt;0.01, D32-E32, 0)</f>
        <v>0</v>
      </c>
      <c r="G32" s="12"/>
      <c r="H32" s="11">
        <f>SUM(F32,G32)</f>
        <v>0</v>
      </c>
      <c r="I32" s="11">
        <f>C32-H32</f>
        <v>0</v>
      </c>
    </row>
    <row r="33" spans="1:9">
      <c r="A33">
        <f>IF(C33&gt;0.01, 32, "")</f>
        <v>0</v>
      </c>
      <c r="B33" s="10">
        <f>IF(C33&gt;0.01,EDATE(B32,12/ZahlungenProJahr),"")</f>
        <v>0</v>
      </c>
      <c r="C33" s="11">
        <f>I32</f>
        <v>0</v>
      </c>
      <c r="D33" s="11">
        <f>IF(C33&gt;0.01, MIN(Rate, C33*(1+Jahreszins/ZahlungenProJahr)), 0)</f>
        <v>0</v>
      </c>
      <c r="E33" s="11">
        <f>IF(C33&gt;0.01, C33*Jahreszins/ZahlungenProJahr, 0)</f>
        <v>0</v>
      </c>
      <c r="F33" s="11">
        <f>IF(C33&gt;0.01, D33-E33, 0)</f>
        <v>0</v>
      </c>
      <c r="G33" s="12"/>
      <c r="H33" s="11">
        <f>SUM(F33,G33)</f>
        <v>0</v>
      </c>
      <c r="I33" s="11">
        <f>C33-H33</f>
        <v>0</v>
      </c>
    </row>
    <row r="34" spans="1:9">
      <c r="A34">
        <f>IF(C34&gt;0.01, 33, "")</f>
        <v>0</v>
      </c>
      <c r="B34" s="10">
        <f>IF(C34&gt;0.01,EDATE(B33,12/ZahlungenProJahr),"")</f>
        <v>0</v>
      </c>
      <c r="C34" s="11">
        <f>I33</f>
        <v>0</v>
      </c>
      <c r="D34" s="11">
        <f>IF(C34&gt;0.01, MIN(Rate, C34*(1+Jahreszins/ZahlungenProJahr)), 0)</f>
        <v>0</v>
      </c>
      <c r="E34" s="11">
        <f>IF(C34&gt;0.01, C34*Jahreszins/ZahlungenProJahr, 0)</f>
        <v>0</v>
      </c>
      <c r="F34" s="11">
        <f>IF(C34&gt;0.01, D34-E34, 0)</f>
        <v>0</v>
      </c>
      <c r="G34" s="12"/>
      <c r="H34" s="11">
        <f>SUM(F34,G34)</f>
        <v>0</v>
      </c>
      <c r="I34" s="11">
        <f>C34-H34</f>
        <v>0</v>
      </c>
    </row>
    <row r="35" spans="1:9">
      <c r="A35">
        <f>IF(C35&gt;0.01, 34, "")</f>
        <v>0</v>
      </c>
      <c r="B35" s="10">
        <f>IF(C35&gt;0.01,EDATE(B34,12/ZahlungenProJahr),"")</f>
        <v>0</v>
      </c>
      <c r="C35" s="11">
        <f>I34</f>
        <v>0</v>
      </c>
      <c r="D35" s="11">
        <f>IF(C35&gt;0.01, MIN(Rate, C35*(1+Jahreszins/ZahlungenProJahr)), 0)</f>
        <v>0</v>
      </c>
      <c r="E35" s="11">
        <f>IF(C35&gt;0.01, C35*Jahreszins/ZahlungenProJahr, 0)</f>
        <v>0</v>
      </c>
      <c r="F35" s="11">
        <f>IF(C35&gt;0.01, D35-E35, 0)</f>
        <v>0</v>
      </c>
      <c r="G35" s="12"/>
      <c r="H35" s="11">
        <f>SUM(F35,G35)</f>
        <v>0</v>
      </c>
      <c r="I35" s="11">
        <f>C35-H35</f>
        <v>0</v>
      </c>
    </row>
    <row r="36" spans="1:9">
      <c r="A36">
        <f>IF(C36&gt;0.01, 35, "")</f>
        <v>0</v>
      </c>
      <c r="B36" s="10">
        <f>IF(C36&gt;0.01,EDATE(B35,12/ZahlungenProJahr),"")</f>
        <v>0</v>
      </c>
      <c r="C36" s="11">
        <f>I35</f>
        <v>0</v>
      </c>
      <c r="D36" s="11">
        <f>IF(C36&gt;0.01, MIN(Rate, C36*(1+Jahreszins/ZahlungenProJahr)), 0)</f>
        <v>0</v>
      </c>
      <c r="E36" s="11">
        <f>IF(C36&gt;0.01, C36*Jahreszins/ZahlungenProJahr, 0)</f>
        <v>0</v>
      </c>
      <c r="F36" s="11">
        <f>IF(C36&gt;0.01, D36-E36, 0)</f>
        <v>0</v>
      </c>
      <c r="G36" s="12"/>
      <c r="H36" s="11">
        <f>SUM(F36,G36)</f>
        <v>0</v>
      </c>
      <c r="I36" s="11">
        <f>C36-H36</f>
        <v>0</v>
      </c>
    </row>
    <row r="37" spans="1:9">
      <c r="A37">
        <f>IF(C37&gt;0.01, 36, "")</f>
        <v>0</v>
      </c>
      <c r="B37" s="10">
        <f>IF(C37&gt;0.01,EDATE(B36,12/ZahlungenProJahr),"")</f>
        <v>0</v>
      </c>
      <c r="C37" s="11">
        <f>I36</f>
        <v>0</v>
      </c>
      <c r="D37" s="11">
        <f>IF(C37&gt;0.01, MIN(Rate, C37*(1+Jahreszins/ZahlungenProJahr)), 0)</f>
        <v>0</v>
      </c>
      <c r="E37" s="11">
        <f>IF(C37&gt;0.01, C37*Jahreszins/ZahlungenProJahr, 0)</f>
        <v>0</v>
      </c>
      <c r="F37" s="11">
        <f>IF(C37&gt;0.01, D37-E37, 0)</f>
        <v>0</v>
      </c>
      <c r="G37" s="12"/>
      <c r="H37" s="11">
        <f>SUM(F37,G37)</f>
        <v>0</v>
      </c>
      <c r="I37" s="11">
        <f>C37-H37</f>
        <v>0</v>
      </c>
    </row>
    <row r="38" spans="1:9">
      <c r="A38">
        <f>IF(C38&gt;0.01, 37, "")</f>
        <v>0</v>
      </c>
      <c r="B38" s="10">
        <f>IF(C38&gt;0.01,EDATE(B37,12/ZahlungenProJahr),"")</f>
        <v>0</v>
      </c>
      <c r="C38" s="11">
        <f>I37</f>
        <v>0</v>
      </c>
      <c r="D38" s="11">
        <f>IF(C38&gt;0.01, MIN(Rate, C38*(1+Jahreszins/ZahlungenProJahr)), 0)</f>
        <v>0</v>
      </c>
      <c r="E38" s="11">
        <f>IF(C38&gt;0.01, C38*Jahreszins/ZahlungenProJahr, 0)</f>
        <v>0</v>
      </c>
      <c r="F38" s="11">
        <f>IF(C38&gt;0.01, D38-E38, 0)</f>
        <v>0</v>
      </c>
      <c r="G38" s="12"/>
      <c r="H38" s="11">
        <f>SUM(F38,G38)</f>
        <v>0</v>
      </c>
      <c r="I38" s="11">
        <f>C38-H38</f>
        <v>0</v>
      </c>
    </row>
    <row r="39" spans="1:9">
      <c r="A39">
        <f>IF(C39&gt;0.01, 38, "")</f>
        <v>0</v>
      </c>
      <c r="B39" s="10">
        <f>IF(C39&gt;0.01,EDATE(B38,12/ZahlungenProJahr),"")</f>
        <v>0</v>
      </c>
      <c r="C39" s="11">
        <f>I38</f>
        <v>0</v>
      </c>
      <c r="D39" s="11">
        <f>IF(C39&gt;0.01, MIN(Rate, C39*(1+Jahreszins/ZahlungenProJahr)), 0)</f>
        <v>0</v>
      </c>
      <c r="E39" s="11">
        <f>IF(C39&gt;0.01, C39*Jahreszins/ZahlungenProJahr, 0)</f>
        <v>0</v>
      </c>
      <c r="F39" s="11">
        <f>IF(C39&gt;0.01, D39-E39, 0)</f>
        <v>0</v>
      </c>
      <c r="G39" s="12"/>
      <c r="H39" s="11">
        <f>SUM(F39,G39)</f>
        <v>0</v>
      </c>
      <c r="I39" s="11">
        <f>C39-H39</f>
        <v>0</v>
      </c>
    </row>
    <row r="40" spans="1:9">
      <c r="A40">
        <f>IF(C40&gt;0.01, 39, "")</f>
        <v>0</v>
      </c>
      <c r="B40" s="10">
        <f>IF(C40&gt;0.01,EDATE(B39,12/ZahlungenProJahr),"")</f>
        <v>0</v>
      </c>
      <c r="C40" s="11">
        <f>I39</f>
        <v>0</v>
      </c>
      <c r="D40" s="11">
        <f>IF(C40&gt;0.01, MIN(Rate, C40*(1+Jahreszins/ZahlungenProJahr)), 0)</f>
        <v>0</v>
      </c>
      <c r="E40" s="11">
        <f>IF(C40&gt;0.01, C40*Jahreszins/ZahlungenProJahr, 0)</f>
        <v>0</v>
      </c>
      <c r="F40" s="11">
        <f>IF(C40&gt;0.01, D40-E40, 0)</f>
        <v>0</v>
      </c>
      <c r="G40" s="12"/>
      <c r="H40" s="11">
        <f>SUM(F40,G40)</f>
        <v>0</v>
      </c>
      <c r="I40" s="11">
        <f>C40-H40</f>
        <v>0</v>
      </c>
    </row>
    <row r="41" spans="1:9">
      <c r="A41">
        <f>IF(C41&gt;0.01, 40, "")</f>
        <v>0</v>
      </c>
      <c r="B41" s="10">
        <f>IF(C41&gt;0.01,EDATE(B40,12/ZahlungenProJahr),"")</f>
        <v>0</v>
      </c>
      <c r="C41" s="11">
        <f>I40</f>
        <v>0</v>
      </c>
      <c r="D41" s="11">
        <f>IF(C41&gt;0.01, MIN(Rate, C41*(1+Jahreszins/ZahlungenProJahr)), 0)</f>
        <v>0</v>
      </c>
      <c r="E41" s="11">
        <f>IF(C41&gt;0.01, C41*Jahreszins/ZahlungenProJahr, 0)</f>
        <v>0</v>
      </c>
      <c r="F41" s="11">
        <f>IF(C41&gt;0.01, D41-E41, 0)</f>
        <v>0</v>
      </c>
      <c r="G41" s="12"/>
      <c r="H41" s="11">
        <f>SUM(F41,G41)</f>
        <v>0</v>
      </c>
      <c r="I41" s="11">
        <f>C41-H41</f>
        <v>0</v>
      </c>
    </row>
    <row r="42" spans="1:9">
      <c r="A42">
        <f>IF(C42&gt;0.01, 41, "")</f>
        <v>0</v>
      </c>
      <c r="B42" s="10">
        <f>IF(C42&gt;0.01,EDATE(B41,12/ZahlungenProJahr),"")</f>
        <v>0</v>
      </c>
      <c r="C42" s="11">
        <f>I41</f>
        <v>0</v>
      </c>
      <c r="D42" s="11">
        <f>IF(C42&gt;0.01, MIN(Rate, C42*(1+Jahreszins/ZahlungenProJahr)), 0)</f>
        <v>0</v>
      </c>
      <c r="E42" s="11">
        <f>IF(C42&gt;0.01, C42*Jahreszins/ZahlungenProJahr, 0)</f>
        <v>0</v>
      </c>
      <c r="F42" s="11">
        <f>IF(C42&gt;0.01, D42-E42, 0)</f>
        <v>0</v>
      </c>
      <c r="G42" s="12"/>
      <c r="H42" s="11">
        <f>SUM(F42,G42)</f>
        <v>0</v>
      </c>
      <c r="I42" s="11">
        <f>C42-H42</f>
        <v>0</v>
      </c>
    </row>
    <row r="43" spans="1:9">
      <c r="A43">
        <f>IF(C43&gt;0.01, 42, "")</f>
        <v>0</v>
      </c>
      <c r="B43" s="10">
        <f>IF(C43&gt;0.01,EDATE(B42,12/ZahlungenProJahr),"")</f>
        <v>0</v>
      </c>
      <c r="C43" s="11">
        <f>I42</f>
        <v>0</v>
      </c>
      <c r="D43" s="11">
        <f>IF(C43&gt;0.01, MIN(Rate, C43*(1+Jahreszins/ZahlungenProJahr)), 0)</f>
        <v>0</v>
      </c>
      <c r="E43" s="11">
        <f>IF(C43&gt;0.01, C43*Jahreszins/ZahlungenProJahr, 0)</f>
        <v>0</v>
      </c>
      <c r="F43" s="11">
        <f>IF(C43&gt;0.01, D43-E43, 0)</f>
        <v>0</v>
      </c>
      <c r="G43" s="12"/>
      <c r="H43" s="11">
        <f>SUM(F43,G43)</f>
        <v>0</v>
      </c>
      <c r="I43" s="11">
        <f>C43-H43</f>
        <v>0</v>
      </c>
    </row>
    <row r="44" spans="1:9">
      <c r="A44">
        <f>IF(C44&gt;0.01, 43, "")</f>
        <v>0</v>
      </c>
      <c r="B44" s="10">
        <f>IF(C44&gt;0.01,EDATE(B43,12/ZahlungenProJahr),"")</f>
        <v>0</v>
      </c>
      <c r="C44" s="11">
        <f>I43</f>
        <v>0</v>
      </c>
      <c r="D44" s="11">
        <f>IF(C44&gt;0.01, MIN(Rate, C44*(1+Jahreszins/ZahlungenProJahr)), 0)</f>
        <v>0</v>
      </c>
      <c r="E44" s="11">
        <f>IF(C44&gt;0.01, C44*Jahreszins/ZahlungenProJahr, 0)</f>
        <v>0</v>
      </c>
      <c r="F44" s="11">
        <f>IF(C44&gt;0.01, D44-E44, 0)</f>
        <v>0</v>
      </c>
      <c r="G44" s="12"/>
      <c r="H44" s="11">
        <f>SUM(F44,G44)</f>
        <v>0</v>
      </c>
      <c r="I44" s="11">
        <f>C44-H44</f>
        <v>0</v>
      </c>
    </row>
    <row r="45" spans="1:9">
      <c r="A45">
        <f>IF(C45&gt;0.01, 44, "")</f>
        <v>0</v>
      </c>
      <c r="B45" s="10">
        <f>IF(C45&gt;0.01,EDATE(B44,12/ZahlungenProJahr),"")</f>
        <v>0</v>
      </c>
      <c r="C45" s="11">
        <f>I44</f>
        <v>0</v>
      </c>
      <c r="D45" s="11">
        <f>IF(C45&gt;0.01, MIN(Rate, C45*(1+Jahreszins/ZahlungenProJahr)), 0)</f>
        <v>0</v>
      </c>
      <c r="E45" s="11">
        <f>IF(C45&gt;0.01, C45*Jahreszins/ZahlungenProJahr, 0)</f>
        <v>0</v>
      </c>
      <c r="F45" s="11">
        <f>IF(C45&gt;0.01, D45-E45, 0)</f>
        <v>0</v>
      </c>
      <c r="G45" s="12"/>
      <c r="H45" s="11">
        <f>SUM(F45,G45)</f>
        <v>0</v>
      </c>
      <c r="I45" s="11">
        <f>C45-H45</f>
        <v>0</v>
      </c>
    </row>
    <row r="46" spans="1:9">
      <c r="A46">
        <f>IF(C46&gt;0.01, 45, "")</f>
        <v>0</v>
      </c>
      <c r="B46" s="10">
        <f>IF(C46&gt;0.01,EDATE(B45,12/ZahlungenProJahr),"")</f>
        <v>0</v>
      </c>
      <c r="C46" s="11">
        <f>I45</f>
        <v>0</v>
      </c>
      <c r="D46" s="11">
        <f>IF(C46&gt;0.01, MIN(Rate, C46*(1+Jahreszins/ZahlungenProJahr)), 0)</f>
        <v>0</v>
      </c>
      <c r="E46" s="11">
        <f>IF(C46&gt;0.01, C46*Jahreszins/ZahlungenProJahr, 0)</f>
        <v>0</v>
      </c>
      <c r="F46" s="11">
        <f>IF(C46&gt;0.01, D46-E46, 0)</f>
        <v>0</v>
      </c>
      <c r="G46" s="12"/>
      <c r="H46" s="11">
        <f>SUM(F46,G46)</f>
        <v>0</v>
      </c>
      <c r="I46" s="11">
        <f>C46-H46</f>
        <v>0</v>
      </c>
    </row>
    <row r="47" spans="1:9">
      <c r="A47">
        <f>IF(C47&gt;0.01, 46, "")</f>
        <v>0</v>
      </c>
      <c r="B47" s="10">
        <f>IF(C47&gt;0.01,EDATE(B46,12/ZahlungenProJahr),"")</f>
        <v>0</v>
      </c>
      <c r="C47" s="11">
        <f>I46</f>
        <v>0</v>
      </c>
      <c r="D47" s="11">
        <f>IF(C47&gt;0.01, MIN(Rate, C47*(1+Jahreszins/ZahlungenProJahr)), 0)</f>
        <v>0</v>
      </c>
      <c r="E47" s="11">
        <f>IF(C47&gt;0.01, C47*Jahreszins/ZahlungenProJahr, 0)</f>
        <v>0</v>
      </c>
      <c r="F47" s="11">
        <f>IF(C47&gt;0.01, D47-E47, 0)</f>
        <v>0</v>
      </c>
      <c r="G47" s="12"/>
      <c r="H47" s="11">
        <f>SUM(F47,G47)</f>
        <v>0</v>
      </c>
      <c r="I47" s="11">
        <f>C47-H47</f>
        <v>0</v>
      </c>
    </row>
    <row r="48" spans="1:9">
      <c r="A48">
        <f>IF(C48&gt;0.01, 47, "")</f>
        <v>0</v>
      </c>
      <c r="B48" s="10">
        <f>IF(C48&gt;0.01,EDATE(B47,12/ZahlungenProJahr),"")</f>
        <v>0</v>
      </c>
      <c r="C48" s="11">
        <f>I47</f>
        <v>0</v>
      </c>
      <c r="D48" s="11">
        <f>IF(C48&gt;0.01, MIN(Rate, C48*(1+Jahreszins/ZahlungenProJahr)), 0)</f>
        <v>0</v>
      </c>
      <c r="E48" s="11">
        <f>IF(C48&gt;0.01, C48*Jahreszins/ZahlungenProJahr, 0)</f>
        <v>0</v>
      </c>
      <c r="F48" s="11">
        <f>IF(C48&gt;0.01, D48-E48, 0)</f>
        <v>0</v>
      </c>
      <c r="G48" s="12"/>
      <c r="H48" s="11">
        <f>SUM(F48,G48)</f>
        <v>0</v>
      </c>
      <c r="I48" s="11">
        <f>C48-H48</f>
        <v>0</v>
      </c>
    </row>
    <row r="49" spans="1:9">
      <c r="A49">
        <f>IF(C49&gt;0.01, 48, "")</f>
        <v>0</v>
      </c>
      <c r="B49" s="10">
        <f>IF(C49&gt;0.01,EDATE(B48,12/ZahlungenProJahr),"")</f>
        <v>0</v>
      </c>
      <c r="C49" s="11">
        <f>I48</f>
        <v>0</v>
      </c>
      <c r="D49" s="11">
        <f>IF(C49&gt;0.01, MIN(Rate, C49*(1+Jahreszins/ZahlungenProJahr)), 0)</f>
        <v>0</v>
      </c>
      <c r="E49" s="11">
        <f>IF(C49&gt;0.01, C49*Jahreszins/ZahlungenProJahr, 0)</f>
        <v>0</v>
      </c>
      <c r="F49" s="11">
        <f>IF(C49&gt;0.01, D49-E49, 0)</f>
        <v>0</v>
      </c>
      <c r="G49" s="12"/>
      <c r="H49" s="11">
        <f>SUM(F49,G49)</f>
        <v>0</v>
      </c>
      <c r="I49" s="11">
        <f>C49-H49</f>
        <v>0</v>
      </c>
    </row>
    <row r="50" spans="1:9">
      <c r="A50">
        <f>IF(C50&gt;0.01, 49, "")</f>
        <v>0</v>
      </c>
      <c r="B50" s="10">
        <f>IF(C50&gt;0.01,EDATE(B49,12/ZahlungenProJahr),"")</f>
        <v>0</v>
      </c>
      <c r="C50" s="11">
        <f>I49</f>
        <v>0</v>
      </c>
      <c r="D50" s="11">
        <f>IF(C50&gt;0.01, MIN(Rate, C50*(1+Jahreszins/ZahlungenProJahr)), 0)</f>
        <v>0</v>
      </c>
      <c r="E50" s="11">
        <f>IF(C50&gt;0.01, C50*Jahreszins/ZahlungenProJahr, 0)</f>
        <v>0</v>
      </c>
      <c r="F50" s="11">
        <f>IF(C50&gt;0.01, D50-E50, 0)</f>
        <v>0</v>
      </c>
      <c r="G50" s="12"/>
      <c r="H50" s="11">
        <f>SUM(F50,G50)</f>
        <v>0</v>
      </c>
      <c r="I50" s="11">
        <f>C50-H50</f>
        <v>0</v>
      </c>
    </row>
    <row r="51" spans="1:9">
      <c r="A51">
        <f>IF(C51&gt;0.01, 50, "")</f>
        <v>0</v>
      </c>
      <c r="B51" s="10">
        <f>IF(C51&gt;0.01,EDATE(B50,12/ZahlungenProJahr),"")</f>
        <v>0</v>
      </c>
      <c r="C51" s="11">
        <f>I50</f>
        <v>0</v>
      </c>
      <c r="D51" s="11">
        <f>IF(C51&gt;0.01, MIN(Rate, C51*(1+Jahreszins/ZahlungenProJahr)), 0)</f>
        <v>0</v>
      </c>
      <c r="E51" s="11">
        <f>IF(C51&gt;0.01, C51*Jahreszins/ZahlungenProJahr, 0)</f>
        <v>0</v>
      </c>
      <c r="F51" s="11">
        <f>IF(C51&gt;0.01, D51-E51, 0)</f>
        <v>0</v>
      </c>
      <c r="G51" s="12"/>
      <c r="H51" s="11">
        <f>SUM(F51,G51)</f>
        <v>0</v>
      </c>
      <c r="I51" s="11">
        <f>C51-H51</f>
        <v>0</v>
      </c>
    </row>
    <row r="52" spans="1:9">
      <c r="A52">
        <f>IF(C52&gt;0.01, 51, "")</f>
        <v>0</v>
      </c>
      <c r="B52" s="10">
        <f>IF(C52&gt;0.01,EDATE(B51,12/ZahlungenProJahr),"")</f>
        <v>0</v>
      </c>
      <c r="C52" s="11">
        <f>I51</f>
        <v>0</v>
      </c>
      <c r="D52" s="11">
        <f>IF(C52&gt;0.01, MIN(Rate, C52*(1+Jahreszins/ZahlungenProJahr)), 0)</f>
        <v>0</v>
      </c>
      <c r="E52" s="11">
        <f>IF(C52&gt;0.01, C52*Jahreszins/ZahlungenProJahr, 0)</f>
        <v>0</v>
      </c>
      <c r="F52" s="11">
        <f>IF(C52&gt;0.01, D52-E52, 0)</f>
        <v>0</v>
      </c>
      <c r="G52" s="12"/>
      <c r="H52" s="11">
        <f>SUM(F52,G52)</f>
        <v>0</v>
      </c>
      <c r="I52" s="11">
        <f>C52-H52</f>
        <v>0</v>
      </c>
    </row>
    <row r="53" spans="1:9">
      <c r="A53">
        <f>IF(C53&gt;0.01, 52, "")</f>
        <v>0</v>
      </c>
      <c r="B53" s="10">
        <f>IF(C53&gt;0.01,EDATE(B52,12/ZahlungenProJahr),"")</f>
        <v>0</v>
      </c>
      <c r="C53" s="11">
        <f>I52</f>
        <v>0</v>
      </c>
      <c r="D53" s="11">
        <f>IF(C53&gt;0.01, MIN(Rate, C53*(1+Jahreszins/ZahlungenProJahr)), 0)</f>
        <v>0</v>
      </c>
      <c r="E53" s="11">
        <f>IF(C53&gt;0.01, C53*Jahreszins/ZahlungenProJahr, 0)</f>
        <v>0</v>
      </c>
      <c r="F53" s="11">
        <f>IF(C53&gt;0.01, D53-E53, 0)</f>
        <v>0</v>
      </c>
      <c r="G53" s="12"/>
      <c r="H53" s="11">
        <f>SUM(F53,G53)</f>
        <v>0</v>
      </c>
      <c r="I53" s="11">
        <f>C53-H53</f>
        <v>0</v>
      </c>
    </row>
    <row r="54" spans="1:9">
      <c r="A54">
        <f>IF(C54&gt;0.01, 53, "")</f>
        <v>0</v>
      </c>
      <c r="B54" s="10">
        <f>IF(C54&gt;0.01,EDATE(B53,12/ZahlungenProJahr),"")</f>
        <v>0</v>
      </c>
      <c r="C54" s="11">
        <f>I53</f>
        <v>0</v>
      </c>
      <c r="D54" s="11">
        <f>IF(C54&gt;0.01, MIN(Rate, C54*(1+Jahreszins/ZahlungenProJahr)), 0)</f>
        <v>0</v>
      </c>
      <c r="E54" s="11">
        <f>IF(C54&gt;0.01, C54*Jahreszins/ZahlungenProJahr, 0)</f>
        <v>0</v>
      </c>
      <c r="F54" s="11">
        <f>IF(C54&gt;0.01, D54-E54, 0)</f>
        <v>0</v>
      </c>
      <c r="G54" s="12"/>
      <c r="H54" s="11">
        <f>SUM(F54,G54)</f>
        <v>0</v>
      </c>
      <c r="I54" s="11">
        <f>C54-H54</f>
        <v>0</v>
      </c>
    </row>
    <row r="55" spans="1:9">
      <c r="A55">
        <f>IF(C55&gt;0.01, 54, "")</f>
        <v>0</v>
      </c>
      <c r="B55" s="10">
        <f>IF(C55&gt;0.01,EDATE(B54,12/ZahlungenProJahr),"")</f>
        <v>0</v>
      </c>
      <c r="C55" s="11">
        <f>I54</f>
        <v>0</v>
      </c>
      <c r="D55" s="11">
        <f>IF(C55&gt;0.01, MIN(Rate, C55*(1+Jahreszins/ZahlungenProJahr)), 0)</f>
        <v>0</v>
      </c>
      <c r="E55" s="11">
        <f>IF(C55&gt;0.01, C55*Jahreszins/ZahlungenProJahr, 0)</f>
        <v>0</v>
      </c>
      <c r="F55" s="11">
        <f>IF(C55&gt;0.01, D55-E55, 0)</f>
        <v>0</v>
      </c>
      <c r="G55" s="12"/>
      <c r="H55" s="11">
        <f>SUM(F55,G55)</f>
        <v>0</v>
      </c>
      <c r="I55" s="11">
        <f>C55-H55</f>
        <v>0</v>
      </c>
    </row>
    <row r="56" spans="1:9">
      <c r="A56">
        <f>IF(C56&gt;0.01, 55, "")</f>
        <v>0</v>
      </c>
      <c r="B56" s="10">
        <f>IF(C56&gt;0.01,EDATE(B55,12/ZahlungenProJahr),"")</f>
        <v>0</v>
      </c>
      <c r="C56" s="11">
        <f>I55</f>
        <v>0</v>
      </c>
      <c r="D56" s="11">
        <f>IF(C56&gt;0.01, MIN(Rate, C56*(1+Jahreszins/ZahlungenProJahr)), 0)</f>
        <v>0</v>
      </c>
      <c r="E56" s="11">
        <f>IF(C56&gt;0.01, C56*Jahreszins/ZahlungenProJahr, 0)</f>
        <v>0</v>
      </c>
      <c r="F56" s="11">
        <f>IF(C56&gt;0.01, D56-E56, 0)</f>
        <v>0</v>
      </c>
      <c r="G56" s="12"/>
      <c r="H56" s="11">
        <f>SUM(F56,G56)</f>
        <v>0</v>
      </c>
      <c r="I56" s="11">
        <f>C56-H56</f>
        <v>0</v>
      </c>
    </row>
    <row r="57" spans="1:9">
      <c r="A57">
        <f>IF(C57&gt;0.01, 56, "")</f>
        <v>0</v>
      </c>
      <c r="B57" s="10">
        <f>IF(C57&gt;0.01,EDATE(B56,12/ZahlungenProJahr),"")</f>
        <v>0</v>
      </c>
      <c r="C57" s="11">
        <f>I56</f>
        <v>0</v>
      </c>
      <c r="D57" s="11">
        <f>IF(C57&gt;0.01, MIN(Rate, C57*(1+Jahreszins/ZahlungenProJahr)), 0)</f>
        <v>0</v>
      </c>
      <c r="E57" s="11">
        <f>IF(C57&gt;0.01, C57*Jahreszins/ZahlungenProJahr, 0)</f>
        <v>0</v>
      </c>
      <c r="F57" s="11">
        <f>IF(C57&gt;0.01, D57-E57, 0)</f>
        <v>0</v>
      </c>
      <c r="G57" s="12"/>
      <c r="H57" s="11">
        <f>SUM(F57,G57)</f>
        <v>0</v>
      </c>
      <c r="I57" s="11">
        <f>C57-H57</f>
        <v>0</v>
      </c>
    </row>
    <row r="58" spans="1:9">
      <c r="A58">
        <f>IF(C58&gt;0.01, 57, "")</f>
        <v>0</v>
      </c>
      <c r="B58" s="10">
        <f>IF(C58&gt;0.01,EDATE(B57,12/ZahlungenProJahr),"")</f>
        <v>0</v>
      </c>
      <c r="C58" s="11">
        <f>I57</f>
        <v>0</v>
      </c>
      <c r="D58" s="11">
        <f>IF(C58&gt;0.01, MIN(Rate, C58*(1+Jahreszins/ZahlungenProJahr)), 0)</f>
        <v>0</v>
      </c>
      <c r="E58" s="11">
        <f>IF(C58&gt;0.01, C58*Jahreszins/ZahlungenProJahr, 0)</f>
        <v>0</v>
      </c>
      <c r="F58" s="11">
        <f>IF(C58&gt;0.01, D58-E58, 0)</f>
        <v>0</v>
      </c>
      <c r="G58" s="12"/>
      <c r="H58" s="11">
        <f>SUM(F58,G58)</f>
        <v>0</v>
      </c>
      <c r="I58" s="11">
        <f>C58-H58</f>
        <v>0</v>
      </c>
    </row>
    <row r="59" spans="1:9">
      <c r="A59">
        <f>IF(C59&gt;0.01, 58, "")</f>
        <v>0</v>
      </c>
      <c r="B59" s="10">
        <f>IF(C59&gt;0.01,EDATE(B58,12/ZahlungenProJahr),"")</f>
        <v>0</v>
      </c>
      <c r="C59" s="11">
        <f>I58</f>
        <v>0</v>
      </c>
      <c r="D59" s="11">
        <f>IF(C59&gt;0.01, MIN(Rate, C59*(1+Jahreszins/ZahlungenProJahr)), 0)</f>
        <v>0</v>
      </c>
      <c r="E59" s="11">
        <f>IF(C59&gt;0.01, C59*Jahreszins/ZahlungenProJahr, 0)</f>
        <v>0</v>
      </c>
      <c r="F59" s="11">
        <f>IF(C59&gt;0.01, D59-E59, 0)</f>
        <v>0</v>
      </c>
      <c r="G59" s="12"/>
      <c r="H59" s="11">
        <f>SUM(F59,G59)</f>
        <v>0</v>
      </c>
      <c r="I59" s="11">
        <f>C59-H59</f>
        <v>0</v>
      </c>
    </row>
    <row r="60" spans="1:9">
      <c r="A60">
        <f>IF(C60&gt;0.01, 59, "")</f>
        <v>0</v>
      </c>
      <c r="B60" s="10">
        <f>IF(C60&gt;0.01,EDATE(B59,12/ZahlungenProJahr),"")</f>
        <v>0</v>
      </c>
      <c r="C60" s="11">
        <f>I59</f>
        <v>0</v>
      </c>
      <c r="D60" s="11">
        <f>IF(C60&gt;0.01, MIN(Rate, C60*(1+Jahreszins/ZahlungenProJahr)), 0)</f>
        <v>0</v>
      </c>
      <c r="E60" s="11">
        <f>IF(C60&gt;0.01, C60*Jahreszins/ZahlungenProJahr, 0)</f>
        <v>0</v>
      </c>
      <c r="F60" s="11">
        <f>IF(C60&gt;0.01, D60-E60, 0)</f>
        <v>0</v>
      </c>
      <c r="G60" s="12"/>
      <c r="H60" s="11">
        <f>SUM(F60,G60)</f>
        <v>0</v>
      </c>
      <c r="I60" s="11">
        <f>C60-H60</f>
        <v>0</v>
      </c>
    </row>
    <row r="61" spans="1:9">
      <c r="A61">
        <f>IF(C61&gt;0.01, 60, "")</f>
        <v>0</v>
      </c>
      <c r="B61" s="10">
        <f>IF(C61&gt;0.01,EDATE(B60,12/ZahlungenProJahr),"")</f>
        <v>0</v>
      </c>
      <c r="C61" s="11">
        <f>I60</f>
        <v>0</v>
      </c>
      <c r="D61" s="11">
        <f>IF(C61&gt;0.01, MIN(Rate, C61*(1+Jahreszins/ZahlungenProJahr)), 0)</f>
        <v>0</v>
      </c>
      <c r="E61" s="11">
        <f>IF(C61&gt;0.01, C61*Jahreszins/ZahlungenProJahr, 0)</f>
        <v>0</v>
      </c>
      <c r="F61" s="11">
        <f>IF(C61&gt;0.01, D61-E61, 0)</f>
        <v>0</v>
      </c>
      <c r="G61" s="12"/>
      <c r="H61" s="11">
        <f>SUM(F61,G61)</f>
        <v>0</v>
      </c>
      <c r="I61" s="11">
        <f>C61-H61</f>
        <v>0</v>
      </c>
    </row>
    <row r="62" spans="1:9">
      <c r="A62">
        <f>IF(C62&gt;0.01, 61, "")</f>
        <v>0</v>
      </c>
      <c r="B62" s="10">
        <f>IF(C62&gt;0.01,EDATE(B61,12/ZahlungenProJahr),"")</f>
        <v>0</v>
      </c>
      <c r="C62" s="11">
        <f>I61</f>
        <v>0</v>
      </c>
      <c r="D62" s="11">
        <f>IF(C62&gt;0.01, MIN(Rate, C62*(1+Jahreszins/ZahlungenProJahr)), 0)</f>
        <v>0</v>
      </c>
      <c r="E62" s="11">
        <f>IF(C62&gt;0.01, C62*Jahreszins/ZahlungenProJahr, 0)</f>
        <v>0</v>
      </c>
      <c r="F62" s="11">
        <f>IF(C62&gt;0.01, D62-E62, 0)</f>
        <v>0</v>
      </c>
      <c r="G62" s="12"/>
      <c r="H62" s="11">
        <f>SUM(F62,G62)</f>
        <v>0</v>
      </c>
      <c r="I62" s="11">
        <f>C62-H62</f>
        <v>0</v>
      </c>
    </row>
    <row r="63" spans="1:9">
      <c r="A63">
        <f>IF(C63&gt;0.01, 62, "")</f>
        <v>0</v>
      </c>
      <c r="B63" s="10">
        <f>IF(C63&gt;0.01,EDATE(B62,12/ZahlungenProJahr),"")</f>
        <v>0</v>
      </c>
      <c r="C63" s="11">
        <f>I62</f>
        <v>0</v>
      </c>
      <c r="D63" s="11">
        <f>IF(C63&gt;0.01, MIN(Rate, C63*(1+Jahreszins/ZahlungenProJahr)), 0)</f>
        <v>0</v>
      </c>
      <c r="E63" s="11">
        <f>IF(C63&gt;0.01, C63*Jahreszins/ZahlungenProJahr, 0)</f>
        <v>0</v>
      </c>
      <c r="F63" s="11">
        <f>IF(C63&gt;0.01, D63-E63, 0)</f>
        <v>0</v>
      </c>
      <c r="G63" s="12"/>
      <c r="H63" s="11">
        <f>SUM(F63,G63)</f>
        <v>0</v>
      </c>
      <c r="I63" s="11">
        <f>C63-H63</f>
        <v>0</v>
      </c>
    </row>
    <row r="64" spans="1:9">
      <c r="A64">
        <f>IF(C64&gt;0.01, 63, "")</f>
        <v>0</v>
      </c>
      <c r="B64" s="10">
        <f>IF(C64&gt;0.01,EDATE(B63,12/ZahlungenProJahr),"")</f>
        <v>0</v>
      </c>
      <c r="C64" s="11">
        <f>I63</f>
        <v>0</v>
      </c>
      <c r="D64" s="11">
        <f>IF(C64&gt;0.01, MIN(Rate, C64*(1+Jahreszins/ZahlungenProJahr)), 0)</f>
        <v>0</v>
      </c>
      <c r="E64" s="11">
        <f>IF(C64&gt;0.01, C64*Jahreszins/ZahlungenProJahr, 0)</f>
        <v>0</v>
      </c>
      <c r="F64" s="11">
        <f>IF(C64&gt;0.01, D64-E64, 0)</f>
        <v>0</v>
      </c>
      <c r="G64" s="12"/>
      <c r="H64" s="11">
        <f>SUM(F64,G64)</f>
        <v>0</v>
      </c>
      <c r="I64" s="11">
        <f>C64-H64</f>
        <v>0</v>
      </c>
    </row>
    <row r="65" spans="1:9">
      <c r="A65">
        <f>IF(C65&gt;0.01, 64, "")</f>
        <v>0</v>
      </c>
      <c r="B65" s="10">
        <f>IF(C65&gt;0.01,EDATE(B64,12/ZahlungenProJahr),"")</f>
        <v>0</v>
      </c>
      <c r="C65" s="11">
        <f>I64</f>
        <v>0</v>
      </c>
      <c r="D65" s="11">
        <f>IF(C65&gt;0.01, MIN(Rate, C65*(1+Jahreszins/ZahlungenProJahr)), 0)</f>
        <v>0</v>
      </c>
      <c r="E65" s="11">
        <f>IF(C65&gt;0.01, C65*Jahreszins/ZahlungenProJahr, 0)</f>
        <v>0</v>
      </c>
      <c r="F65" s="11">
        <f>IF(C65&gt;0.01, D65-E65, 0)</f>
        <v>0</v>
      </c>
      <c r="G65" s="12"/>
      <c r="H65" s="11">
        <f>SUM(F65,G65)</f>
        <v>0</v>
      </c>
      <c r="I65" s="11">
        <f>C65-H65</f>
        <v>0</v>
      </c>
    </row>
    <row r="66" spans="1:9">
      <c r="A66">
        <f>IF(C66&gt;0.01, 65, "")</f>
        <v>0</v>
      </c>
      <c r="B66" s="10">
        <f>IF(C66&gt;0.01,EDATE(B65,12/ZahlungenProJahr),"")</f>
        <v>0</v>
      </c>
      <c r="C66" s="11">
        <f>I65</f>
        <v>0</v>
      </c>
      <c r="D66" s="11">
        <f>IF(C66&gt;0.01, MIN(Rate, C66*(1+Jahreszins/ZahlungenProJahr)), 0)</f>
        <v>0</v>
      </c>
      <c r="E66" s="11">
        <f>IF(C66&gt;0.01, C66*Jahreszins/ZahlungenProJahr, 0)</f>
        <v>0</v>
      </c>
      <c r="F66" s="11">
        <f>IF(C66&gt;0.01, D66-E66, 0)</f>
        <v>0</v>
      </c>
      <c r="G66" s="12"/>
      <c r="H66" s="11">
        <f>SUM(F66,G66)</f>
        <v>0</v>
      </c>
      <c r="I66" s="11">
        <f>C66-H66</f>
        <v>0</v>
      </c>
    </row>
    <row r="67" spans="1:9">
      <c r="A67">
        <f>IF(C67&gt;0.01, 66, "")</f>
        <v>0</v>
      </c>
      <c r="B67" s="10">
        <f>IF(C67&gt;0.01,EDATE(B66,12/ZahlungenProJahr),"")</f>
        <v>0</v>
      </c>
      <c r="C67" s="11">
        <f>I66</f>
        <v>0</v>
      </c>
      <c r="D67" s="11">
        <f>IF(C67&gt;0.01, MIN(Rate, C67*(1+Jahreszins/ZahlungenProJahr)), 0)</f>
        <v>0</v>
      </c>
      <c r="E67" s="11">
        <f>IF(C67&gt;0.01, C67*Jahreszins/ZahlungenProJahr, 0)</f>
        <v>0</v>
      </c>
      <c r="F67" s="11">
        <f>IF(C67&gt;0.01, D67-E67, 0)</f>
        <v>0</v>
      </c>
      <c r="G67" s="12"/>
      <c r="H67" s="11">
        <f>SUM(F67,G67)</f>
        <v>0</v>
      </c>
      <c r="I67" s="11">
        <f>C67-H67</f>
        <v>0</v>
      </c>
    </row>
    <row r="68" spans="1:9">
      <c r="A68">
        <f>IF(C68&gt;0.01, 67, "")</f>
        <v>0</v>
      </c>
      <c r="B68" s="10">
        <f>IF(C68&gt;0.01,EDATE(B67,12/ZahlungenProJahr),"")</f>
        <v>0</v>
      </c>
      <c r="C68" s="11">
        <f>I67</f>
        <v>0</v>
      </c>
      <c r="D68" s="11">
        <f>IF(C68&gt;0.01, MIN(Rate, C68*(1+Jahreszins/ZahlungenProJahr)), 0)</f>
        <v>0</v>
      </c>
      <c r="E68" s="11">
        <f>IF(C68&gt;0.01, C68*Jahreszins/ZahlungenProJahr, 0)</f>
        <v>0</v>
      </c>
      <c r="F68" s="11">
        <f>IF(C68&gt;0.01, D68-E68, 0)</f>
        <v>0</v>
      </c>
      <c r="G68" s="12"/>
      <c r="H68" s="11">
        <f>SUM(F68,G68)</f>
        <v>0</v>
      </c>
      <c r="I68" s="11">
        <f>C68-H68</f>
        <v>0</v>
      </c>
    </row>
    <row r="69" spans="1:9">
      <c r="A69">
        <f>IF(C69&gt;0.01, 68, "")</f>
        <v>0</v>
      </c>
      <c r="B69" s="10">
        <f>IF(C69&gt;0.01,EDATE(B68,12/ZahlungenProJahr),"")</f>
        <v>0</v>
      </c>
      <c r="C69" s="11">
        <f>I68</f>
        <v>0</v>
      </c>
      <c r="D69" s="11">
        <f>IF(C69&gt;0.01, MIN(Rate, C69*(1+Jahreszins/ZahlungenProJahr)), 0)</f>
        <v>0</v>
      </c>
      <c r="E69" s="11">
        <f>IF(C69&gt;0.01, C69*Jahreszins/ZahlungenProJahr, 0)</f>
        <v>0</v>
      </c>
      <c r="F69" s="11">
        <f>IF(C69&gt;0.01, D69-E69, 0)</f>
        <v>0</v>
      </c>
      <c r="G69" s="12"/>
      <c r="H69" s="11">
        <f>SUM(F69,G69)</f>
        <v>0</v>
      </c>
      <c r="I69" s="11">
        <f>C69-H69</f>
        <v>0</v>
      </c>
    </row>
    <row r="70" spans="1:9">
      <c r="A70">
        <f>IF(C70&gt;0.01, 69, "")</f>
        <v>0</v>
      </c>
      <c r="B70" s="10">
        <f>IF(C70&gt;0.01,EDATE(B69,12/ZahlungenProJahr),"")</f>
        <v>0</v>
      </c>
      <c r="C70" s="11">
        <f>I69</f>
        <v>0</v>
      </c>
      <c r="D70" s="11">
        <f>IF(C70&gt;0.01, MIN(Rate, C70*(1+Jahreszins/ZahlungenProJahr)), 0)</f>
        <v>0</v>
      </c>
      <c r="E70" s="11">
        <f>IF(C70&gt;0.01, C70*Jahreszins/ZahlungenProJahr, 0)</f>
        <v>0</v>
      </c>
      <c r="F70" s="11">
        <f>IF(C70&gt;0.01, D70-E70, 0)</f>
        <v>0</v>
      </c>
      <c r="G70" s="12"/>
      <c r="H70" s="11">
        <f>SUM(F70,G70)</f>
        <v>0</v>
      </c>
      <c r="I70" s="11">
        <f>C70-H70</f>
        <v>0</v>
      </c>
    </row>
    <row r="71" spans="1:9">
      <c r="A71">
        <f>IF(C71&gt;0.01, 70, "")</f>
        <v>0</v>
      </c>
      <c r="B71" s="10">
        <f>IF(C71&gt;0.01,EDATE(B70,12/ZahlungenProJahr),"")</f>
        <v>0</v>
      </c>
      <c r="C71" s="11">
        <f>I70</f>
        <v>0</v>
      </c>
      <c r="D71" s="11">
        <f>IF(C71&gt;0.01, MIN(Rate, C71*(1+Jahreszins/ZahlungenProJahr)), 0)</f>
        <v>0</v>
      </c>
      <c r="E71" s="11">
        <f>IF(C71&gt;0.01, C71*Jahreszins/ZahlungenProJahr, 0)</f>
        <v>0</v>
      </c>
      <c r="F71" s="11">
        <f>IF(C71&gt;0.01, D71-E71, 0)</f>
        <v>0</v>
      </c>
      <c r="G71" s="12"/>
      <c r="H71" s="11">
        <f>SUM(F71,G71)</f>
        <v>0</v>
      </c>
      <c r="I71" s="11">
        <f>C71-H71</f>
        <v>0</v>
      </c>
    </row>
    <row r="72" spans="1:9">
      <c r="A72">
        <f>IF(C72&gt;0.01, 71, "")</f>
        <v>0</v>
      </c>
      <c r="B72" s="10">
        <f>IF(C72&gt;0.01,EDATE(B71,12/ZahlungenProJahr),"")</f>
        <v>0</v>
      </c>
      <c r="C72" s="11">
        <f>I71</f>
        <v>0</v>
      </c>
      <c r="D72" s="11">
        <f>IF(C72&gt;0.01, MIN(Rate, C72*(1+Jahreszins/ZahlungenProJahr)), 0)</f>
        <v>0</v>
      </c>
      <c r="E72" s="11">
        <f>IF(C72&gt;0.01, C72*Jahreszins/ZahlungenProJahr, 0)</f>
        <v>0</v>
      </c>
      <c r="F72" s="11">
        <f>IF(C72&gt;0.01, D72-E72, 0)</f>
        <v>0</v>
      </c>
      <c r="G72" s="12"/>
      <c r="H72" s="11">
        <f>SUM(F72,G72)</f>
        <v>0</v>
      </c>
      <c r="I72" s="11">
        <f>C72-H72</f>
        <v>0</v>
      </c>
    </row>
    <row r="73" spans="1:9">
      <c r="A73">
        <f>IF(C73&gt;0.01, 72, "")</f>
        <v>0</v>
      </c>
      <c r="B73" s="10">
        <f>IF(C73&gt;0.01,EDATE(B72,12/ZahlungenProJahr),"")</f>
        <v>0</v>
      </c>
      <c r="C73" s="11">
        <f>I72</f>
        <v>0</v>
      </c>
      <c r="D73" s="11">
        <f>IF(C73&gt;0.01, MIN(Rate, C73*(1+Jahreszins/ZahlungenProJahr)), 0)</f>
        <v>0</v>
      </c>
      <c r="E73" s="11">
        <f>IF(C73&gt;0.01, C73*Jahreszins/ZahlungenProJahr, 0)</f>
        <v>0</v>
      </c>
      <c r="F73" s="11">
        <f>IF(C73&gt;0.01, D73-E73, 0)</f>
        <v>0</v>
      </c>
      <c r="G73" s="12"/>
      <c r="H73" s="11">
        <f>SUM(F73,G73)</f>
        <v>0</v>
      </c>
      <c r="I73" s="11">
        <f>C73-H73</f>
        <v>0</v>
      </c>
    </row>
    <row r="74" spans="1:9">
      <c r="A74">
        <f>IF(C74&gt;0.01, 73, "")</f>
        <v>0</v>
      </c>
      <c r="B74" s="10">
        <f>IF(C74&gt;0.01,EDATE(B73,12/ZahlungenProJahr),"")</f>
        <v>0</v>
      </c>
      <c r="C74" s="11">
        <f>I73</f>
        <v>0</v>
      </c>
      <c r="D74" s="11">
        <f>IF(C74&gt;0.01, MIN(Rate, C74*(1+Jahreszins/ZahlungenProJahr)), 0)</f>
        <v>0</v>
      </c>
      <c r="E74" s="11">
        <f>IF(C74&gt;0.01, C74*Jahreszins/ZahlungenProJahr, 0)</f>
        <v>0</v>
      </c>
      <c r="F74" s="11">
        <f>IF(C74&gt;0.01, D74-E74, 0)</f>
        <v>0</v>
      </c>
      <c r="G74" s="12"/>
      <c r="H74" s="11">
        <f>SUM(F74,G74)</f>
        <v>0</v>
      </c>
      <c r="I74" s="11">
        <f>C74-H74</f>
        <v>0</v>
      </c>
    </row>
    <row r="75" spans="1:9">
      <c r="A75">
        <f>IF(C75&gt;0.01, 74, "")</f>
        <v>0</v>
      </c>
      <c r="B75" s="10">
        <f>IF(C75&gt;0.01,EDATE(B74,12/ZahlungenProJahr),"")</f>
        <v>0</v>
      </c>
      <c r="C75" s="11">
        <f>I74</f>
        <v>0</v>
      </c>
      <c r="D75" s="11">
        <f>IF(C75&gt;0.01, MIN(Rate, C75*(1+Jahreszins/ZahlungenProJahr)), 0)</f>
        <v>0</v>
      </c>
      <c r="E75" s="11">
        <f>IF(C75&gt;0.01, C75*Jahreszins/ZahlungenProJahr, 0)</f>
        <v>0</v>
      </c>
      <c r="F75" s="11">
        <f>IF(C75&gt;0.01, D75-E75, 0)</f>
        <v>0</v>
      </c>
      <c r="G75" s="12"/>
      <c r="H75" s="11">
        <f>SUM(F75,G75)</f>
        <v>0</v>
      </c>
      <c r="I75" s="11">
        <f>C75-H75</f>
        <v>0</v>
      </c>
    </row>
    <row r="76" spans="1:9">
      <c r="A76">
        <f>IF(C76&gt;0.01, 75, "")</f>
        <v>0</v>
      </c>
      <c r="B76" s="10">
        <f>IF(C76&gt;0.01,EDATE(B75,12/ZahlungenProJahr),"")</f>
        <v>0</v>
      </c>
      <c r="C76" s="11">
        <f>I75</f>
        <v>0</v>
      </c>
      <c r="D76" s="11">
        <f>IF(C76&gt;0.01, MIN(Rate, C76*(1+Jahreszins/ZahlungenProJahr)), 0)</f>
        <v>0</v>
      </c>
      <c r="E76" s="11">
        <f>IF(C76&gt;0.01, C76*Jahreszins/ZahlungenProJahr, 0)</f>
        <v>0</v>
      </c>
      <c r="F76" s="11">
        <f>IF(C76&gt;0.01, D76-E76, 0)</f>
        <v>0</v>
      </c>
      <c r="G76" s="12"/>
      <c r="H76" s="11">
        <f>SUM(F76,G76)</f>
        <v>0</v>
      </c>
      <c r="I76" s="11">
        <f>C76-H76</f>
        <v>0</v>
      </c>
    </row>
    <row r="77" spans="1:9">
      <c r="A77">
        <f>IF(C77&gt;0.01, 76, "")</f>
        <v>0</v>
      </c>
      <c r="B77" s="10">
        <f>IF(C77&gt;0.01,EDATE(B76,12/ZahlungenProJahr),"")</f>
        <v>0</v>
      </c>
      <c r="C77" s="11">
        <f>I76</f>
        <v>0</v>
      </c>
      <c r="D77" s="11">
        <f>IF(C77&gt;0.01, MIN(Rate, C77*(1+Jahreszins/ZahlungenProJahr)), 0)</f>
        <v>0</v>
      </c>
      <c r="E77" s="11">
        <f>IF(C77&gt;0.01, C77*Jahreszins/ZahlungenProJahr, 0)</f>
        <v>0</v>
      </c>
      <c r="F77" s="11">
        <f>IF(C77&gt;0.01, D77-E77, 0)</f>
        <v>0</v>
      </c>
      <c r="G77" s="12"/>
      <c r="H77" s="11">
        <f>SUM(F77,G77)</f>
        <v>0</v>
      </c>
      <c r="I77" s="11">
        <f>C77-H77</f>
        <v>0</v>
      </c>
    </row>
    <row r="78" spans="1:9">
      <c r="A78">
        <f>IF(C78&gt;0.01, 77, "")</f>
        <v>0</v>
      </c>
      <c r="B78" s="10">
        <f>IF(C78&gt;0.01,EDATE(B77,12/ZahlungenProJahr),"")</f>
        <v>0</v>
      </c>
      <c r="C78" s="11">
        <f>I77</f>
        <v>0</v>
      </c>
      <c r="D78" s="11">
        <f>IF(C78&gt;0.01, MIN(Rate, C78*(1+Jahreszins/ZahlungenProJahr)), 0)</f>
        <v>0</v>
      </c>
      <c r="E78" s="11">
        <f>IF(C78&gt;0.01, C78*Jahreszins/ZahlungenProJahr, 0)</f>
        <v>0</v>
      </c>
      <c r="F78" s="11">
        <f>IF(C78&gt;0.01, D78-E78, 0)</f>
        <v>0</v>
      </c>
      <c r="G78" s="12"/>
      <c r="H78" s="11">
        <f>SUM(F78,G78)</f>
        <v>0</v>
      </c>
      <c r="I78" s="11">
        <f>C78-H78</f>
        <v>0</v>
      </c>
    </row>
    <row r="79" spans="1:9">
      <c r="A79">
        <f>IF(C79&gt;0.01, 78, "")</f>
        <v>0</v>
      </c>
      <c r="B79" s="10">
        <f>IF(C79&gt;0.01,EDATE(B78,12/ZahlungenProJahr),"")</f>
        <v>0</v>
      </c>
      <c r="C79" s="11">
        <f>I78</f>
        <v>0</v>
      </c>
      <c r="D79" s="11">
        <f>IF(C79&gt;0.01, MIN(Rate, C79*(1+Jahreszins/ZahlungenProJahr)), 0)</f>
        <v>0</v>
      </c>
      <c r="E79" s="11">
        <f>IF(C79&gt;0.01, C79*Jahreszins/ZahlungenProJahr, 0)</f>
        <v>0</v>
      </c>
      <c r="F79" s="11">
        <f>IF(C79&gt;0.01, D79-E79, 0)</f>
        <v>0</v>
      </c>
      <c r="G79" s="12"/>
      <c r="H79" s="11">
        <f>SUM(F79,G79)</f>
        <v>0</v>
      </c>
      <c r="I79" s="11">
        <f>C79-H79</f>
        <v>0</v>
      </c>
    </row>
    <row r="80" spans="1:9">
      <c r="A80">
        <f>IF(C80&gt;0.01, 79, "")</f>
        <v>0</v>
      </c>
      <c r="B80" s="10">
        <f>IF(C80&gt;0.01,EDATE(B79,12/ZahlungenProJahr),"")</f>
        <v>0</v>
      </c>
      <c r="C80" s="11">
        <f>I79</f>
        <v>0</v>
      </c>
      <c r="D80" s="11">
        <f>IF(C80&gt;0.01, MIN(Rate, C80*(1+Jahreszins/ZahlungenProJahr)), 0)</f>
        <v>0</v>
      </c>
      <c r="E80" s="11">
        <f>IF(C80&gt;0.01, C80*Jahreszins/ZahlungenProJahr, 0)</f>
        <v>0</v>
      </c>
      <c r="F80" s="11">
        <f>IF(C80&gt;0.01, D80-E80, 0)</f>
        <v>0</v>
      </c>
      <c r="G80" s="12"/>
      <c r="H80" s="11">
        <f>SUM(F80,G80)</f>
        <v>0</v>
      </c>
      <c r="I80" s="11">
        <f>C80-H80</f>
        <v>0</v>
      </c>
    </row>
    <row r="81" spans="1:9">
      <c r="A81">
        <f>IF(C81&gt;0.01, 80, "")</f>
        <v>0</v>
      </c>
      <c r="B81" s="10">
        <f>IF(C81&gt;0.01,EDATE(B80,12/ZahlungenProJahr),"")</f>
        <v>0</v>
      </c>
      <c r="C81" s="11">
        <f>I80</f>
        <v>0</v>
      </c>
      <c r="D81" s="11">
        <f>IF(C81&gt;0.01, MIN(Rate, C81*(1+Jahreszins/ZahlungenProJahr)), 0)</f>
        <v>0</v>
      </c>
      <c r="E81" s="11">
        <f>IF(C81&gt;0.01, C81*Jahreszins/ZahlungenProJahr, 0)</f>
        <v>0</v>
      </c>
      <c r="F81" s="11">
        <f>IF(C81&gt;0.01, D81-E81, 0)</f>
        <v>0</v>
      </c>
      <c r="G81" s="12"/>
      <c r="H81" s="11">
        <f>SUM(F81,G81)</f>
        <v>0</v>
      </c>
      <c r="I81" s="11">
        <f>C81-H81</f>
        <v>0</v>
      </c>
    </row>
    <row r="82" spans="1:9">
      <c r="A82">
        <f>IF(C82&gt;0.01, 81, "")</f>
        <v>0</v>
      </c>
      <c r="B82" s="10">
        <f>IF(C82&gt;0.01,EDATE(B81,12/ZahlungenProJahr),"")</f>
        <v>0</v>
      </c>
      <c r="C82" s="11">
        <f>I81</f>
        <v>0</v>
      </c>
      <c r="D82" s="11">
        <f>IF(C82&gt;0.01, MIN(Rate, C82*(1+Jahreszins/ZahlungenProJahr)), 0)</f>
        <v>0</v>
      </c>
      <c r="E82" s="11">
        <f>IF(C82&gt;0.01, C82*Jahreszins/ZahlungenProJahr, 0)</f>
        <v>0</v>
      </c>
      <c r="F82" s="11">
        <f>IF(C82&gt;0.01, D82-E82, 0)</f>
        <v>0</v>
      </c>
      <c r="G82" s="12"/>
      <c r="H82" s="11">
        <f>SUM(F82,G82)</f>
        <v>0</v>
      </c>
      <c r="I82" s="11">
        <f>C82-H82</f>
        <v>0</v>
      </c>
    </row>
    <row r="83" spans="1:9">
      <c r="A83">
        <f>IF(C83&gt;0.01, 82, "")</f>
        <v>0</v>
      </c>
      <c r="B83" s="10">
        <f>IF(C83&gt;0.01,EDATE(B82,12/ZahlungenProJahr),"")</f>
        <v>0</v>
      </c>
      <c r="C83" s="11">
        <f>I82</f>
        <v>0</v>
      </c>
      <c r="D83" s="11">
        <f>IF(C83&gt;0.01, MIN(Rate, C83*(1+Jahreszins/ZahlungenProJahr)), 0)</f>
        <v>0</v>
      </c>
      <c r="E83" s="11">
        <f>IF(C83&gt;0.01, C83*Jahreszins/ZahlungenProJahr, 0)</f>
        <v>0</v>
      </c>
      <c r="F83" s="11">
        <f>IF(C83&gt;0.01, D83-E83, 0)</f>
        <v>0</v>
      </c>
      <c r="G83" s="12"/>
      <c r="H83" s="11">
        <f>SUM(F83,G83)</f>
        <v>0</v>
      </c>
      <c r="I83" s="11">
        <f>C83-H83</f>
        <v>0</v>
      </c>
    </row>
    <row r="84" spans="1:9">
      <c r="A84">
        <f>IF(C84&gt;0.01, 83, "")</f>
        <v>0</v>
      </c>
      <c r="B84" s="10">
        <f>IF(C84&gt;0.01,EDATE(B83,12/ZahlungenProJahr),"")</f>
        <v>0</v>
      </c>
      <c r="C84" s="11">
        <f>I83</f>
        <v>0</v>
      </c>
      <c r="D84" s="11">
        <f>IF(C84&gt;0.01, MIN(Rate, C84*(1+Jahreszins/ZahlungenProJahr)), 0)</f>
        <v>0</v>
      </c>
      <c r="E84" s="11">
        <f>IF(C84&gt;0.01, C84*Jahreszins/ZahlungenProJahr, 0)</f>
        <v>0</v>
      </c>
      <c r="F84" s="11">
        <f>IF(C84&gt;0.01, D84-E84, 0)</f>
        <v>0</v>
      </c>
      <c r="G84" s="12"/>
      <c r="H84" s="11">
        <f>SUM(F84,G84)</f>
        <v>0</v>
      </c>
      <c r="I84" s="11">
        <f>C84-H84</f>
        <v>0</v>
      </c>
    </row>
    <row r="85" spans="1:9">
      <c r="A85">
        <f>IF(C85&gt;0.01, 84, "")</f>
        <v>0</v>
      </c>
      <c r="B85" s="10">
        <f>IF(C85&gt;0.01,EDATE(B84,12/ZahlungenProJahr),"")</f>
        <v>0</v>
      </c>
      <c r="C85" s="11">
        <f>I84</f>
        <v>0</v>
      </c>
      <c r="D85" s="11">
        <f>IF(C85&gt;0.01, MIN(Rate, C85*(1+Jahreszins/ZahlungenProJahr)), 0)</f>
        <v>0</v>
      </c>
      <c r="E85" s="11">
        <f>IF(C85&gt;0.01, C85*Jahreszins/ZahlungenProJahr, 0)</f>
        <v>0</v>
      </c>
      <c r="F85" s="11">
        <f>IF(C85&gt;0.01, D85-E85, 0)</f>
        <v>0</v>
      </c>
      <c r="G85" s="12"/>
      <c r="H85" s="11">
        <f>SUM(F85,G85)</f>
        <v>0</v>
      </c>
      <c r="I85" s="11">
        <f>C85-H85</f>
        <v>0</v>
      </c>
    </row>
    <row r="86" spans="1:9">
      <c r="A86">
        <f>IF(C86&gt;0.01, 85, "")</f>
        <v>0</v>
      </c>
      <c r="B86" s="10">
        <f>IF(C86&gt;0.01,EDATE(B85,12/ZahlungenProJahr),"")</f>
        <v>0</v>
      </c>
      <c r="C86" s="11">
        <f>I85</f>
        <v>0</v>
      </c>
      <c r="D86" s="11">
        <f>IF(C86&gt;0.01, MIN(Rate, C86*(1+Jahreszins/ZahlungenProJahr)), 0)</f>
        <v>0</v>
      </c>
      <c r="E86" s="11">
        <f>IF(C86&gt;0.01, C86*Jahreszins/ZahlungenProJahr, 0)</f>
        <v>0</v>
      </c>
      <c r="F86" s="11">
        <f>IF(C86&gt;0.01, D86-E86, 0)</f>
        <v>0</v>
      </c>
      <c r="G86" s="12"/>
      <c r="H86" s="11">
        <f>SUM(F86,G86)</f>
        <v>0</v>
      </c>
      <c r="I86" s="11">
        <f>C86-H86</f>
        <v>0</v>
      </c>
    </row>
    <row r="87" spans="1:9">
      <c r="A87">
        <f>IF(C87&gt;0.01, 86, "")</f>
        <v>0</v>
      </c>
      <c r="B87" s="10">
        <f>IF(C87&gt;0.01,EDATE(B86,12/ZahlungenProJahr),"")</f>
        <v>0</v>
      </c>
      <c r="C87" s="11">
        <f>I86</f>
        <v>0</v>
      </c>
      <c r="D87" s="11">
        <f>IF(C87&gt;0.01, MIN(Rate, C87*(1+Jahreszins/ZahlungenProJahr)), 0)</f>
        <v>0</v>
      </c>
      <c r="E87" s="11">
        <f>IF(C87&gt;0.01, C87*Jahreszins/ZahlungenProJahr, 0)</f>
        <v>0</v>
      </c>
      <c r="F87" s="11">
        <f>IF(C87&gt;0.01, D87-E87, 0)</f>
        <v>0</v>
      </c>
      <c r="G87" s="12"/>
      <c r="H87" s="11">
        <f>SUM(F87,G87)</f>
        <v>0</v>
      </c>
      <c r="I87" s="11">
        <f>C87-H87</f>
        <v>0</v>
      </c>
    </row>
    <row r="88" spans="1:9">
      <c r="A88">
        <f>IF(C88&gt;0.01, 87, "")</f>
        <v>0</v>
      </c>
      <c r="B88" s="10">
        <f>IF(C88&gt;0.01,EDATE(B87,12/ZahlungenProJahr),"")</f>
        <v>0</v>
      </c>
      <c r="C88" s="11">
        <f>I87</f>
        <v>0</v>
      </c>
      <c r="D88" s="11">
        <f>IF(C88&gt;0.01, MIN(Rate, C88*(1+Jahreszins/ZahlungenProJahr)), 0)</f>
        <v>0</v>
      </c>
      <c r="E88" s="11">
        <f>IF(C88&gt;0.01, C88*Jahreszins/ZahlungenProJahr, 0)</f>
        <v>0</v>
      </c>
      <c r="F88" s="11">
        <f>IF(C88&gt;0.01, D88-E88, 0)</f>
        <v>0</v>
      </c>
      <c r="G88" s="12"/>
      <c r="H88" s="11">
        <f>SUM(F88,G88)</f>
        <v>0</v>
      </c>
      <c r="I88" s="11">
        <f>C88-H88</f>
        <v>0</v>
      </c>
    </row>
    <row r="89" spans="1:9">
      <c r="A89">
        <f>IF(C89&gt;0.01, 88, "")</f>
        <v>0</v>
      </c>
      <c r="B89" s="10">
        <f>IF(C89&gt;0.01,EDATE(B88,12/ZahlungenProJahr),"")</f>
        <v>0</v>
      </c>
      <c r="C89" s="11">
        <f>I88</f>
        <v>0</v>
      </c>
      <c r="D89" s="11">
        <f>IF(C89&gt;0.01, MIN(Rate, C89*(1+Jahreszins/ZahlungenProJahr)), 0)</f>
        <v>0</v>
      </c>
      <c r="E89" s="11">
        <f>IF(C89&gt;0.01, C89*Jahreszins/ZahlungenProJahr, 0)</f>
        <v>0</v>
      </c>
      <c r="F89" s="11">
        <f>IF(C89&gt;0.01, D89-E89, 0)</f>
        <v>0</v>
      </c>
      <c r="G89" s="12"/>
      <c r="H89" s="11">
        <f>SUM(F89,G89)</f>
        <v>0</v>
      </c>
      <c r="I89" s="11">
        <f>C89-H89</f>
        <v>0</v>
      </c>
    </row>
    <row r="90" spans="1:9">
      <c r="A90">
        <f>IF(C90&gt;0.01, 89, "")</f>
        <v>0</v>
      </c>
      <c r="B90" s="10">
        <f>IF(C90&gt;0.01,EDATE(B89,12/ZahlungenProJahr),"")</f>
        <v>0</v>
      </c>
      <c r="C90" s="11">
        <f>I89</f>
        <v>0</v>
      </c>
      <c r="D90" s="11">
        <f>IF(C90&gt;0.01, MIN(Rate, C90*(1+Jahreszins/ZahlungenProJahr)), 0)</f>
        <v>0</v>
      </c>
      <c r="E90" s="11">
        <f>IF(C90&gt;0.01, C90*Jahreszins/ZahlungenProJahr, 0)</f>
        <v>0</v>
      </c>
      <c r="F90" s="11">
        <f>IF(C90&gt;0.01, D90-E90, 0)</f>
        <v>0</v>
      </c>
      <c r="G90" s="12"/>
      <c r="H90" s="11">
        <f>SUM(F90,G90)</f>
        <v>0</v>
      </c>
      <c r="I90" s="11">
        <f>C90-H90</f>
        <v>0</v>
      </c>
    </row>
    <row r="91" spans="1:9">
      <c r="A91">
        <f>IF(C91&gt;0.01, 90, "")</f>
        <v>0</v>
      </c>
      <c r="B91" s="10">
        <f>IF(C91&gt;0.01,EDATE(B90,12/ZahlungenProJahr),"")</f>
        <v>0</v>
      </c>
      <c r="C91" s="11">
        <f>I90</f>
        <v>0</v>
      </c>
      <c r="D91" s="11">
        <f>IF(C91&gt;0.01, MIN(Rate, C91*(1+Jahreszins/ZahlungenProJahr)), 0)</f>
        <v>0</v>
      </c>
      <c r="E91" s="11">
        <f>IF(C91&gt;0.01, C91*Jahreszins/ZahlungenProJahr, 0)</f>
        <v>0</v>
      </c>
      <c r="F91" s="11">
        <f>IF(C91&gt;0.01, D91-E91, 0)</f>
        <v>0</v>
      </c>
      <c r="G91" s="12"/>
      <c r="H91" s="11">
        <f>SUM(F91,G91)</f>
        <v>0</v>
      </c>
      <c r="I91" s="11">
        <f>C91-H91</f>
        <v>0</v>
      </c>
    </row>
    <row r="92" spans="1:9">
      <c r="A92">
        <f>IF(C92&gt;0.01, 91, "")</f>
        <v>0</v>
      </c>
      <c r="B92" s="10">
        <f>IF(C92&gt;0.01,EDATE(B91,12/ZahlungenProJahr),"")</f>
        <v>0</v>
      </c>
      <c r="C92" s="11">
        <f>I91</f>
        <v>0</v>
      </c>
      <c r="D92" s="11">
        <f>IF(C92&gt;0.01, MIN(Rate, C92*(1+Jahreszins/ZahlungenProJahr)), 0)</f>
        <v>0</v>
      </c>
      <c r="E92" s="11">
        <f>IF(C92&gt;0.01, C92*Jahreszins/ZahlungenProJahr, 0)</f>
        <v>0</v>
      </c>
      <c r="F92" s="11">
        <f>IF(C92&gt;0.01, D92-E92, 0)</f>
        <v>0</v>
      </c>
      <c r="G92" s="12"/>
      <c r="H92" s="11">
        <f>SUM(F92,G92)</f>
        <v>0</v>
      </c>
      <c r="I92" s="11">
        <f>C92-H92</f>
        <v>0</v>
      </c>
    </row>
    <row r="93" spans="1:9">
      <c r="A93">
        <f>IF(C93&gt;0.01, 92, "")</f>
        <v>0</v>
      </c>
      <c r="B93" s="10">
        <f>IF(C93&gt;0.01,EDATE(B92,12/ZahlungenProJahr),"")</f>
        <v>0</v>
      </c>
      <c r="C93" s="11">
        <f>I92</f>
        <v>0</v>
      </c>
      <c r="D93" s="11">
        <f>IF(C93&gt;0.01, MIN(Rate, C93*(1+Jahreszins/ZahlungenProJahr)), 0)</f>
        <v>0</v>
      </c>
      <c r="E93" s="11">
        <f>IF(C93&gt;0.01, C93*Jahreszins/ZahlungenProJahr, 0)</f>
        <v>0</v>
      </c>
      <c r="F93" s="11">
        <f>IF(C93&gt;0.01, D93-E93, 0)</f>
        <v>0</v>
      </c>
      <c r="G93" s="12"/>
      <c r="H93" s="11">
        <f>SUM(F93,G93)</f>
        <v>0</v>
      </c>
      <c r="I93" s="11">
        <f>C93-H93</f>
        <v>0</v>
      </c>
    </row>
    <row r="94" spans="1:9">
      <c r="A94">
        <f>IF(C94&gt;0.01, 93, "")</f>
        <v>0</v>
      </c>
      <c r="B94" s="10">
        <f>IF(C94&gt;0.01,EDATE(B93,12/ZahlungenProJahr),"")</f>
        <v>0</v>
      </c>
      <c r="C94" s="11">
        <f>I93</f>
        <v>0</v>
      </c>
      <c r="D94" s="11">
        <f>IF(C94&gt;0.01, MIN(Rate, C94*(1+Jahreszins/ZahlungenProJahr)), 0)</f>
        <v>0</v>
      </c>
      <c r="E94" s="11">
        <f>IF(C94&gt;0.01, C94*Jahreszins/ZahlungenProJahr, 0)</f>
        <v>0</v>
      </c>
      <c r="F94" s="11">
        <f>IF(C94&gt;0.01, D94-E94, 0)</f>
        <v>0</v>
      </c>
      <c r="G94" s="12"/>
      <c r="H94" s="11">
        <f>SUM(F94,G94)</f>
        <v>0</v>
      </c>
      <c r="I94" s="11">
        <f>C94-H94</f>
        <v>0</v>
      </c>
    </row>
    <row r="95" spans="1:9">
      <c r="A95">
        <f>IF(C95&gt;0.01, 94, "")</f>
        <v>0</v>
      </c>
      <c r="B95" s="10">
        <f>IF(C95&gt;0.01,EDATE(B94,12/ZahlungenProJahr),"")</f>
        <v>0</v>
      </c>
      <c r="C95" s="11">
        <f>I94</f>
        <v>0</v>
      </c>
      <c r="D95" s="11">
        <f>IF(C95&gt;0.01, MIN(Rate, C95*(1+Jahreszins/ZahlungenProJahr)), 0)</f>
        <v>0</v>
      </c>
      <c r="E95" s="11">
        <f>IF(C95&gt;0.01, C95*Jahreszins/ZahlungenProJahr, 0)</f>
        <v>0</v>
      </c>
      <c r="F95" s="11">
        <f>IF(C95&gt;0.01, D95-E95, 0)</f>
        <v>0</v>
      </c>
      <c r="G95" s="12"/>
      <c r="H95" s="11">
        <f>SUM(F95,G95)</f>
        <v>0</v>
      </c>
      <c r="I95" s="11">
        <f>C95-H95</f>
        <v>0</v>
      </c>
    </row>
    <row r="96" spans="1:9">
      <c r="A96">
        <f>IF(C96&gt;0.01, 95, "")</f>
        <v>0</v>
      </c>
      <c r="B96" s="10">
        <f>IF(C96&gt;0.01,EDATE(B95,12/ZahlungenProJahr),"")</f>
        <v>0</v>
      </c>
      <c r="C96" s="11">
        <f>I95</f>
        <v>0</v>
      </c>
      <c r="D96" s="11">
        <f>IF(C96&gt;0.01, MIN(Rate, C96*(1+Jahreszins/ZahlungenProJahr)), 0)</f>
        <v>0</v>
      </c>
      <c r="E96" s="11">
        <f>IF(C96&gt;0.01, C96*Jahreszins/ZahlungenProJahr, 0)</f>
        <v>0</v>
      </c>
      <c r="F96" s="11">
        <f>IF(C96&gt;0.01, D96-E96, 0)</f>
        <v>0</v>
      </c>
      <c r="G96" s="12"/>
      <c r="H96" s="11">
        <f>SUM(F96,G96)</f>
        <v>0</v>
      </c>
      <c r="I96" s="11">
        <f>C96-H96</f>
        <v>0</v>
      </c>
    </row>
    <row r="97" spans="1:9">
      <c r="A97">
        <f>IF(C97&gt;0.01, 96, "")</f>
        <v>0</v>
      </c>
      <c r="B97" s="10">
        <f>IF(C97&gt;0.01,EDATE(B96,12/ZahlungenProJahr),"")</f>
        <v>0</v>
      </c>
      <c r="C97" s="11">
        <f>I96</f>
        <v>0</v>
      </c>
      <c r="D97" s="11">
        <f>IF(C97&gt;0.01, MIN(Rate, C97*(1+Jahreszins/ZahlungenProJahr)), 0)</f>
        <v>0</v>
      </c>
      <c r="E97" s="11">
        <f>IF(C97&gt;0.01, C97*Jahreszins/ZahlungenProJahr, 0)</f>
        <v>0</v>
      </c>
      <c r="F97" s="11">
        <f>IF(C97&gt;0.01, D97-E97, 0)</f>
        <v>0</v>
      </c>
      <c r="G97" s="12"/>
      <c r="H97" s="11">
        <f>SUM(F97,G97)</f>
        <v>0</v>
      </c>
      <c r="I97" s="11">
        <f>C97-H97</f>
        <v>0</v>
      </c>
    </row>
    <row r="98" spans="1:9">
      <c r="A98">
        <f>IF(C98&gt;0.01, 97, "")</f>
        <v>0</v>
      </c>
      <c r="B98" s="10">
        <f>IF(C98&gt;0.01,EDATE(B97,12/ZahlungenProJahr),"")</f>
        <v>0</v>
      </c>
      <c r="C98" s="11">
        <f>I97</f>
        <v>0</v>
      </c>
      <c r="D98" s="11">
        <f>IF(C98&gt;0.01, MIN(Rate, C98*(1+Jahreszins/ZahlungenProJahr)), 0)</f>
        <v>0</v>
      </c>
      <c r="E98" s="11">
        <f>IF(C98&gt;0.01, C98*Jahreszins/ZahlungenProJahr, 0)</f>
        <v>0</v>
      </c>
      <c r="F98" s="11">
        <f>IF(C98&gt;0.01, D98-E98, 0)</f>
        <v>0</v>
      </c>
      <c r="G98" s="12"/>
      <c r="H98" s="11">
        <f>SUM(F98,G98)</f>
        <v>0</v>
      </c>
      <c r="I98" s="11">
        <f>C98-H98</f>
        <v>0</v>
      </c>
    </row>
    <row r="99" spans="1:9">
      <c r="A99">
        <f>IF(C99&gt;0.01, 98, "")</f>
        <v>0</v>
      </c>
      <c r="B99" s="10">
        <f>IF(C99&gt;0.01,EDATE(B98,12/ZahlungenProJahr),"")</f>
        <v>0</v>
      </c>
      <c r="C99" s="11">
        <f>I98</f>
        <v>0</v>
      </c>
      <c r="D99" s="11">
        <f>IF(C99&gt;0.01, MIN(Rate, C99*(1+Jahreszins/ZahlungenProJahr)), 0)</f>
        <v>0</v>
      </c>
      <c r="E99" s="11">
        <f>IF(C99&gt;0.01, C99*Jahreszins/ZahlungenProJahr, 0)</f>
        <v>0</v>
      </c>
      <c r="F99" s="11">
        <f>IF(C99&gt;0.01, D99-E99, 0)</f>
        <v>0</v>
      </c>
      <c r="G99" s="12"/>
      <c r="H99" s="11">
        <f>SUM(F99,G99)</f>
        <v>0</v>
      </c>
      <c r="I99" s="11">
        <f>C99-H99</f>
        <v>0</v>
      </c>
    </row>
    <row r="100" spans="1:9">
      <c r="A100">
        <f>IF(C100&gt;0.01, 99, "")</f>
        <v>0</v>
      </c>
      <c r="B100" s="10">
        <f>IF(C100&gt;0.01,EDATE(B99,12/ZahlungenProJahr),"")</f>
        <v>0</v>
      </c>
      <c r="C100" s="11">
        <f>I99</f>
        <v>0</v>
      </c>
      <c r="D100" s="11">
        <f>IF(C100&gt;0.01, MIN(Rate, C100*(1+Jahreszins/ZahlungenProJahr)), 0)</f>
        <v>0</v>
      </c>
      <c r="E100" s="11">
        <f>IF(C100&gt;0.01, C100*Jahreszins/ZahlungenProJahr, 0)</f>
        <v>0</v>
      </c>
      <c r="F100" s="11">
        <f>IF(C100&gt;0.01, D100-E100, 0)</f>
        <v>0</v>
      </c>
      <c r="G100" s="12"/>
      <c r="H100" s="11">
        <f>SUM(F100,G100)</f>
        <v>0</v>
      </c>
      <c r="I100" s="11">
        <f>C100-H100</f>
        <v>0</v>
      </c>
    </row>
    <row r="101" spans="1:9">
      <c r="A101">
        <f>IF(C101&gt;0.01, 100, "")</f>
        <v>0</v>
      </c>
      <c r="B101" s="10">
        <f>IF(C101&gt;0.01,EDATE(B100,12/ZahlungenProJahr),"")</f>
        <v>0</v>
      </c>
      <c r="C101" s="11">
        <f>I100</f>
        <v>0</v>
      </c>
      <c r="D101" s="11">
        <f>IF(C101&gt;0.01, MIN(Rate, C101*(1+Jahreszins/ZahlungenProJahr)), 0)</f>
        <v>0</v>
      </c>
      <c r="E101" s="11">
        <f>IF(C101&gt;0.01, C101*Jahreszins/ZahlungenProJahr, 0)</f>
        <v>0</v>
      </c>
      <c r="F101" s="11">
        <f>IF(C101&gt;0.01, D101-E101, 0)</f>
        <v>0</v>
      </c>
      <c r="G101" s="12"/>
      <c r="H101" s="11">
        <f>SUM(F101,G101)</f>
        <v>0</v>
      </c>
      <c r="I101" s="11">
        <f>C101-H101</f>
        <v>0</v>
      </c>
    </row>
    <row r="102" spans="1:9">
      <c r="A102">
        <f>IF(C102&gt;0.01, 101, "")</f>
        <v>0</v>
      </c>
      <c r="B102" s="10">
        <f>IF(C102&gt;0.01,EDATE(B101,12/ZahlungenProJahr),"")</f>
        <v>0</v>
      </c>
      <c r="C102" s="11">
        <f>I101</f>
        <v>0</v>
      </c>
      <c r="D102" s="11">
        <f>IF(C102&gt;0.01, MIN(Rate, C102*(1+Jahreszins/ZahlungenProJahr)), 0)</f>
        <v>0</v>
      </c>
      <c r="E102" s="11">
        <f>IF(C102&gt;0.01, C102*Jahreszins/ZahlungenProJahr, 0)</f>
        <v>0</v>
      </c>
      <c r="F102" s="11">
        <f>IF(C102&gt;0.01, D102-E102, 0)</f>
        <v>0</v>
      </c>
      <c r="G102" s="12"/>
      <c r="H102" s="11">
        <f>SUM(F102,G102)</f>
        <v>0</v>
      </c>
      <c r="I102" s="11">
        <f>C102-H102</f>
        <v>0</v>
      </c>
    </row>
    <row r="103" spans="1:9">
      <c r="A103">
        <f>IF(C103&gt;0.01, 102, "")</f>
        <v>0</v>
      </c>
      <c r="B103" s="10">
        <f>IF(C103&gt;0.01,EDATE(B102,12/ZahlungenProJahr),"")</f>
        <v>0</v>
      </c>
      <c r="C103" s="11">
        <f>I102</f>
        <v>0</v>
      </c>
      <c r="D103" s="11">
        <f>IF(C103&gt;0.01, MIN(Rate, C103*(1+Jahreszins/ZahlungenProJahr)), 0)</f>
        <v>0</v>
      </c>
      <c r="E103" s="11">
        <f>IF(C103&gt;0.01, C103*Jahreszins/ZahlungenProJahr, 0)</f>
        <v>0</v>
      </c>
      <c r="F103" s="11">
        <f>IF(C103&gt;0.01, D103-E103, 0)</f>
        <v>0</v>
      </c>
      <c r="G103" s="12"/>
      <c r="H103" s="11">
        <f>SUM(F103,G103)</f>
        <v>0</v>
      </c>
      <c r="I103" s="11">
        <f>C103-H103</f>
        <v>0</v>
      </c>
    </row>
    <row r="104" spans="1:9">
      <c r="A104">
        <f>IF(C104&gt;0.01, 103, "")</f>
        <v>0</v>
      </c>
      <c r="B104" s="10">
        <f>IF(C104&gt;0.01,EDATE(B103,12/ZahlungenProJahr),"")</f>
        <v>0</v>
      </c>
      <c r="C104" s="11">
        <f>I103</f>
        <v>0</v>
      </c>
      <c r="D104" s="11">
        <f>IF(C104&gt;0.01, MIN(Rate, C104*(1+Jahreszins/ZahlungenProJahr)), 0)</f>
        <v>0</v>
      </c>
      <c r="E104" s="11">
        <f>IF(C104&gt;0.01, C104*Jahreszins/ZahlungenProJahr, 0)</f>
        <v>0</v>
      </c>
      <c r="F104" s="11">
        <f>IF(C104&gt;0.01, D104-E104, 0)</f>
        <v>0</v>
      </c>
      <c r="G104" s="12"/>
      <c r="H104" s="11">
        <f>SUM(F104,G104)</f>
        <v>0</v>
      </c>
      <c r="I104" s="11">
        <f>C104-H104</f>
        <v>0</v>
      </c>
    </row>
    <row r="105" spans="1:9">
      <c r="A105">
        <f>IF(C105&gt;0.01, 104, "")</f>
        <v>0</v>
      </c>
      <c r="B105" s="10">
        <f>IF(C105&gt;0.01,EDATE(B104,12/ZahlungenProJahr),"")</f>
        <v>0</v>
      </c>
      <c r="C105" s="11">
        <f>I104</f>
        <v>0</v>
      </c>
      <c r="D105" s="11">
        <f>IF(C105&gt;0.01, MIN(Rate, C105*(1+Jahreszins/ZahlungenProJahr)), 0)</f>
        <v>0</v>
      </c>
      <c r="E105" s="11">
        <f>IF(C105&gt;0.01, C105*Jahreszins/ZahlungenProJahr, 0)</f>
        <v>0</v>
      </c>
      <c r="F105" s="11">
        <f>IF(C105&gt;0.01, D105-E105, 0)</f>
        <v>0</v>
      </c>
      <c r="G105" s="12"/>
      <c r="H105" s="11">
        <f>SUM(F105,G105)</f>
        <v>0</v>
      </c>
      <c r="I105" s="11">
        <f>C105-H105</f>
        <v>0</v>
      </c>
    </row>
    <row r="106" spans="1:9">
      <c r="A106">
        <f>IF(C106&gt;0.01, 105, "")</f>
        <v>0</v>
      </c>
      <c r="B106" s="10">
        <f>IF(C106&gt;0.01,EDATE(B105,12/ZahlungenProJahr),"")</f>
        <v>0</v>
      </c>
      <c r="C106" s="11">
        <f>I105</f>
        <v>0</v>
      </c>
      <c r="D106" s="11">
        <f>IF(C106&gt;0.01, MIN(Rate, C106*(1+Jahreszins/ZahlungenProJahr)), 0)</f>
        <v>0</v>
      </c>
      <c r="E106" s="11">
        <f>IF(C106&gt;0.01, C106*Jahreszins/ZahlungenProJahr, 0)</f>
        <v>0</v>
      </c>
      <c r="F106" s="11">
        <f>IF(C106&gt;0.01, D106-E106, 0)</f>
        <v>0</v>
      </c>
      <c r="G106" s="12"/>
      <c r="H106" s="11">
        <f>SUM(F106,G106)</f>
        <v>0</v>
      </c>
      <c r="I106" s="11">
        <f>C106-H106</f>
        <v>0</v>
      </c>
    </row>
    <row r="107" spans="1:9">
      <c r="A107">
        <f>IF(C107&gt;0.01, 106, "")</f>
        <v>0</v>
      </c>
      <c r="B107" s="10">
        <f>IF(C107&gt;0.01,EDATE(B106,12/ZahlungenProJahr),"")</f>
        <v>0</v>
      </c>
      <c r="C107" s="11">
        <f>I106</f>
        <v>0</v>
      </c>
      <c r="D107" s="11">
        <f>IF(C107&gt;0.01, MIN(Rate, C107*(1+Jahreszins/ZahlungenProJahr)), 0)</f>
        <v>0</v>
      </c>
      <c r="E107" s="11">
        <f>IF(C107&gt;0.01, C107*Jahreszins/ZahlungenProJahr, 0)</f>
        <v>0</v>
      </c>
      <c r="F107" s="11">
        <f>IF(C107&gt;0.01, D107-E107, 0)</f>
        <v>0</v>
      </c>
      <c r="G107" s="12"/>
      <c r="H107" s="11">
        <f>SUM(F107,G107)</f>
        <v>0</v>
      </c>
      <c r="I107" s="11">
        <f>C107-H107</f>
        <v>0</v>
      </c>
    </row>
    <row r="108" spans="1:9">
      <c r="A108">
        <f>IF(C108&gt;0.01, 107, "")</f>
        <v>0</v>
      </c>
      <c r="B108" s="10">
        <f>IF(C108&gt;0.01,EDATE(B107,12/ZahlungenProJahr),"")</f>
        <v>0</v>
      </c>
      <c r="C108" s="11">
        <f>I107</f>
        <v>0</v>
      </c>
      <c r="D108" s="11">
        <f>IF(C108&gt;0.01, MIN(Rate, C108*(1+Jahreszins/ZahlungenProJahr)), 0)</f>
        <v>0</v>
      </c>
      <c r="E108" s="11">
        <f>IF(C108&gt;0.01, C108*Jahreszins/ZahlungenProJahr, 0)</f>
        <v>0</v>
      </c>
      <c r="F108" s="11">
        <f>IF(C108&gt;0.01, D108-E108, 0)</f>
        <v>0</v>
      </c>
      <c r="G108" s="12"/>
      <c r="H108" s="11">
        <f>SUM(F108,G108)</f>
        <v>0</v>
      </c>
      <c r="I108" s="11">
        <f>C108-H108</f>
        <v>0</v>
      </c>
    </row>
    <row r="109" spans="1:9">
      <c r="A109">
        <f>IF(C109&gt;0.01, 108, "")</f>
        <v>0</v>
      </c>
      <c r="B109" s="10">
        <f>IF(C109&gt;0.01,EDATE(B108,12/ZahlungenProJahr),"")</f>
        <v>0</v>
      </c>
      <c r="C109" s="11">
        <f>I108</f>
        <v>0</v>
      </c>
      <c r="D109" s="11">
        <f>IF(C109&gt;0.01, MIN(Rate, C109*(1+Jahreszins/ZahlungenProJahr)), 0)</f>
        <v>0</v>
      </c>
      <c r="E109" s="11">
        <f>IF(C109&gt;0.01, C109*Jahreszins/ZahlungenProJahr, 0)</f>
        <v>0</v>
      </c>
      <c r="F109" s="11">
        <f>IF(C109&gt;0.01, D109-E109, 0)</f>
        <v>0</v>
      </c>
      <c r="G109" s="12"/>
      <c r="H109" s="11">
        <f>SUM(F109,G109)</f>
        <v>0</v>
      </c>
      <c r="I109" s="11">
        <f>C109-H109</f>
        <v>0</v>
      </c>
    </row>
    <row r="110" spans="1:9">
      <c r="A110">
        <f>IF(C110&gt;0.01, 109, "")</f>
        <v>0</v>
      </c>
      <c r="B110" s="10">
        <f>IF(C110&gt;0.01,EDATE(B109,12/ZahlungenProJahr),"")</f>
        <v>0</v>
      </c>
      <c r="C110" s="11">
        <f>I109</f>
        <v>0</v>
      </c>
      <c r="D110" s="11">
        <f>IF(C110&gt;0.01, MIN(Rate, C110*(1+Jahreszins/ZahlungenProJahr)), 0)</f>
        <v>0</v>
      </c>
      <c r="E110" s="11">
        <f>IF(C110&gt;0.01, C110*Jahreszins/ZahlungenProJahr, 0)</f>
        <v>0</v>
      </c>
      <c r="F110" s="11">
        <f>IF(C110&gt;0.01, D110-E110, 0)</f>
        <v>0</v>
      </c>
      <c r="G110" s="12"/>
      <c r="H110" s="11">
        <f>SUM(F110,G110)</f>
        <v>0</v>
      </c>
      <c r="I110" s="11">
        <f>C110-H110</f>
        <v>0</v>
      </c>
    </row>
    <row r="111" spans="1:9">
      <c r="A111">
        <f>IF(C111&gt;0.01, 110, "")</f>
        <v>0</v>
      </c>
      <c r="B111" s="10">
        <f>IF(C111&gt;0.01,EDATE(B110,12/ZahlungenProJahr),"")</f>
        <v>0</v>
      </c>
      <c r="C111" s="11">
        <f>I110</f>
        <v>0</v>
      </c>
      <c r="D111" s="11">
        <f>IF(C111&gt;0.01, MIN(Rate, C111*(1+Jahreszins/ZahlungenProJahr)), 0)</f>
        <v>0</v>
      </c>
      <c r="E111" s="11">
        <f>IF(C111&gt;0.01, C111*Jahreszins/ZahlungenProJahr, 0)</f>
        <v>0</v>
      </c>
      <c r="F111" s="11">
        <f>IF(C111&gt;0.01, D111-E111, 0)</f>
        <v>0</v>
      </c>
      <c r="G111" s="12"/>
      <c r="H111" s="11">
        <f>SUM(F111,G111)</f>
        <v>0</v>
      </c>
      <c r="I111" s="11">
        <f>C111-H111</f>
        <v>0</v>
      </c>
    </row>
    <row r="112" spans="1:9">
      <c r="A112">
        <f>IF(C112&gt;0.01, 111, "")</f>
        <v>0</v>
      </c>
      <c r="B112" s="10">
        <f>IF(C112&gt;0.01,EDATE(B111,12/ZahlungenProJahr),"")</f>
        <v>0</v>
      </c>
      <c r="C112" s="11">
        <f>I111</f>
        <v>0</v>
      </c>
      <c r="D112" s="11">
        <f>IF(C112&gt;0.01, MIN(Rate, C112*(1+Jahreszins/ZahlungenProJahr)), 0)</f>
        <v>0</v>
      </c>
      <c r="E112" s="11">
        <f>IF(C112&gt;0.01, C112*Jahreszins/ZahlungenProJahr, 0)</f>
        <v>0</v>
      </c>
      <c r="F112" s="11">
        <f>IF(C112&gt;0.01, D112-E112, 0)</f>
        <v>0</v>
      </c>
      <c r="G112" s="12"/>
      <c r="H112" s="11">
        <f>SUM(F112,G112)</f>
        <v>0</v>
      </c>
      <c r="I112" s="11">
        <f>C112-H112</f>
        <v>0</v>
      </c>
    </row>
    <row r="113" spans="1:9">
      <c r="A113">
        <f>IF(C113&gt;0.01, 112, "")</f>
        <v>0</v>
      </c>
      <c r="B113" s="10">
        <f>IF(C113&gt;0.01,EDATE(B112,12/ZahlungenProJahr),"")</f>
        <v>0</v>
      </c>
      <c r="C113" s="11">
        <f>I112</f>
        <v>0</v>
      </c>
      <c r="D113" s="11">
        <f>IF(C113&gt;0.01, MIN(Rate, C113*(1+Jahreszins/ZahlungenProJahr)), 0)</f>
        <v>0</v>
      </c>
      <c r="E113" s="11">
        <f>IF(C113&gt;0.01, C113*Jahreszins/ZahlungenProJahr, 0)</f>
        <v>0</v>
      </c>
      <c r="F113" s="11">
        <f>IF(C113&gt;0.01, D113-E113, 0)</f>
        <v>0</v>
      </c>
      <c r="G113" s="12"/>
      <c r="H113" s="11">
        <f>SUM(F113,G113)</f>
        <v>0</v>
      </c>
      <c r="I113" s="11">
        <f>C113-H113</f>
        <v>0</v>
      </c>
    </row>
    <row r="114" spans="1:9">
      <c r="A114">
        <f>IF(C114&gt;0.01, 113, "")</f>
        <v>0</v>
      </c>
      <c r="B114" s="10">
        <f>IF(C114&gt;0.01,EDATE(B113,12/ZahlungenProJahr),"")</f>
        <v>0</v>
      </c>
      <c r="C114" s="11">
        <f>I113</f>
        <v>0</v>
      </c>
      <c r="D114" s="11">
        <f>IF(C114&gt;0.01, MIN(Rate, C114*(1+Jahreszins/ZahlungenProJahr)), 0)</f>
        <v>0</v>
      </c>
      <c r="E114" s="11">
        <f>IF(C114&gt;0.01, C114*Jahreszins/ZahlungenProJahr, 0)</f>
        <v>0</v>
      </c>
      <c r="F114" s="11">
        <f>IF(C114&gt;0.01, D114-E114, 0)</f>
        <v>0</v>
      </c>
      <c r="G114" s="12"/>
      <c r="H114" s="11">
        <f>SUM(F114,G114)</f>
        <v>0</v>
      </c>
      <c r="I114" s="11">
        <f>C114-H114</f>
        <v>0</v>
      </c>
    </row>
    <row r="115" spans="1:9">
      <c r="A115">
        <f>IF(C115&gt;0.01, 114, "")</f>
        <v>0</v>
      </c>
      <c r="B115" s="10">
        <f>IF(C115&gt;0.01,EDATE(B114,12/ZahlungenProJahr),"")</f>
        <v>0</v>
      </c>
      <c r="C115" s="11">
        <f>I114</f>
        <v>0</v>
      </c>
      <c r="D115" s="11">
        <f>IF(C115&gt;0.01, MIN(Rate, C115*(1+Jahreszins/ZahlungenProJahr)), 0)</f>
        <v>0</v>
      </c>
      <c r="E115" s="11">
        <f>IF(C115&gt;0.01, C115*Jahreszins/ZahlungenProJahr, 0)</f>
        <v>0</v>
      </c>
      <c r="F115" s="11">
        <f>IF(C115&gt;0.01, D115-E115, 0)</f>
        <v>0</v>
      </c>
      <c r="G115" s="12"/>
      <c r="H115" s="11">
        <f>SUM(F115,G115)</f>
        <v>0</v>
      </c>
      <c r="I115" s="11">
        <f>C115-H115</f>
        <v>0</v>
      </c>
    </row>
    <row r="116" spans="1:9">
      <c r="A116">
        <f>IF(C116&gt;0.01, 115, "")</f>
        <v>0</v>
      </c>
      <c r="B116" s="10">
        <f>IF(C116&gt;0.01,EDATE(B115,12/ZahlungenProJahr),"")</f>
        <v>0</v>
      </c>
      <c r="C116" s="11">
        <f>I115</f>
        <v>0</v>
      </c>
      <c r="D116" s="11">
        <f>IF(C116&gt;0.01, MIN(Rate, C116*(1+Jahreszins/ZahlungenProJahr)), 0)</f>
        <v>0</v>
      </c>
      <c r="E116" s="11">
        <f>IF(C116&gt;0.01, C116*Jahreszins/ZahlungenProJahr, 0)</f>
        <v>0</v>
      </c>
      <c r="F116" s="11">
        <f>IF(C116&gt;0.01, D116-E116, 0)</f>
        <v>0</v>
      </c>
      <c r="G116" s="12"/>
      <c r="H116" s="11">
        <f>SUM(F116,G116)</f>
        <v>0</v>
      </c>
      <c r="I116" s="11">
        <f>C116-H116</f>
        <v>0</v>
      </c>
    </row>
    <row r="117" spans="1:9">
      <c r="A117">
        <f>IF(C117&gt;0.01, 116, "")</f>
        <v>0</v>
      </c>
      <c r="B117" s="10">
        <f>IF(C117&gt;0.01,EDATE(B116,12/ZahlungenProJahr),"")</f>
        <v>0</v>
      </c>
      <c r="C117" s="11">
        <f>I116</f>
        <v>0</v>
      </c>
      <c r="D117" s="11">
        <f>IF(C117&gt;0.01, MIN(Rate, C117*(1+Jahreszins/ZahlungenProJahr)), 0)</f>
        <v>0</v>
      </c>
      <c r="E117" s="11">
        <f>IF(C117&gt;0.01, C117*Jahreszins/ZahlungenProJahr, 0)</f>
        <v>0</v>
      </c>
      <c r="F117" s="11">
        <f>IF(C117&gt;0.01, D117-E117, 0)</f>
        <v>0</v>
      </c>
      <c r="G117" s="12"/>
      <c r="H117" s="11">
        <f>SUM(F117,G117)</f>
        <v>0</v>
      </c>
      <c r="I117" s="11">
        <f>C117-H117</f>
        <v>0</v>
      </c>
    </row>
    <row r="118" spans="1:9">
      <c r="A118">
        <f>IF(C118&gt;0.01, 117, "")</f>
        <v>0</v>
      </c>
      <c r="B118" s="10">
        <f>IF(C118&gt;0.01,EDATE(B117,12/ZahlungenProJahr),"")</f>
        <v>0</v>
      </c>
      <c r="C118" s="11">
        <f>I117</f>
        <v>0</v>
      </c>
      <c r="D118" s="11">
        <f>IF(C118&gt;0.01, MIN(Rate, C118*(1+Jahreszins/ZahlungenProJahr)), 0)</f>
        <v>0</v>
      </c>
      <c r="E118" s="11">
        <f>IF(C118&gt;0.01, C118*Jahreszins/ZahlungenProJahr, 0)</f>
        <v>0</v>
      </c>
      <c r="F118" s="11">
        <f>IF(C118&gt;0.01, D118-E118, 0)</f>
        <v>0</v>
      </c>
      <c r="G118" s="12"/>
      <c r="H118" s="11">
        <f>SUM(F118,G118)</f>
        <v>0</v>
      </c>
      <c r="I118" s="11">
        <f>C118-H118</f>
        <v>0</v>
      </c>
    </row>
    <row r="119" spans="1:9">
      <c r="A119">
        <f>IF(C119&gt;0.01, 118, "")</f>
        <v>0</v>
      </c>
      <c r="B119" s="10">
        <f>IF(C119&gt;0.01,EDATE(B118,12/ZahlungenProJahr),"")</f>
        <v>0</v>
      </c>
      <c r="C119" s="11">
        <f>I118</f>
        <v>0</v>
      </c>
      <c r="D119" s="11">
        <f>IF(C119&gt;0.01, MIN(Rate, C119*(1+Jahreszins/ZahlungenProJahr)), 0)</f>
        <v>0</v>
      </c>
      <c r="E119" s="11">
        <f>IF(C119&gt;0.01, C119*Jahreszins/ZahlungenProJahr, 0)</f>
        <v>0</v>
      </c>
      <c r="F119" s="11">
        <f>IF(C119&gt;0.01, D119-E119, 0)</f>
        <v>0</v>
      </c>
      <c r="G119" s="12"/>
      <c r="H119" s="11">
        <f>SUM(F119,G119)</f>
        <v>0</v>
      </c>
      <c r="I119" s="11">
        <f>C119-H119</f>
        <v>0</v>
      </c>
    </row>
    <row r="120" spans="1:9">
      <c r="A120">
        <f>IF(C120&gt;0.01, 119, "")</f>
        <v>0</v>
      </c>
      <c r="B120" s="10">
        <f>IF(C120&gt;0.01,EDATE(B119,12/ZahlungenProJahr),"")</f>
        <v>0</v>
      </c>
      <c r="C120" s="11">
        <f>I119</f>
        <v>0</v>
      </c>
      <c r="D120" s="11">
        <f>IF(C120&gt;0.01, MIN(Rate, C120*(1+Jahreszins/ZahlungenProJahr)), 0)</f>
        <v>0</v>
      </c>
      <c r="E120" s="11">
        <f>IF(C120&gt;0.01, C120*Jahreszins/ZahlungenProJahr, 0)</f>
        <v>0</v>
      </c>
      <c r="F120" s="11">
        <f>IF(C120&gt;0.01, D120-E120, 0)</f>
        <v>0</v>
      </c>
      <c r="G120" s="12"/>
      <c r="H120" s="11">
        <f>SUM(F120,G120)</f>
        <v>0</v>
      </c>
      <c r="I120" s="11">
        <f>C120-H120</f>
        <v>0</v>
      </c>
    </row>
    <row r="121" spans="1:9">
      <c r="A121">
        <f>IF(C121&gt;0.01, 120, "")</f>
        <v>0</v>
      </c>
      <c r="B121" s="10">
        <f>IF(C121&gt;0.01,EDATE(B120,12/ZahlungenProJahr),"")</f>
        <v>0</v>
      </c>
      <c r="C121" s="11">
        <f>I120</f>
        <v>0</v>
      </c>
      <c r="D121" s="11">
        <f>IF(C121&gt;0.01, MIN(Rate, C121*(1+Jahreszins/ZahlungenProJahr)), 0)</f>
        <v>0</v>
      </c>
      <c r="E121" s="11">
        <f>IF(C121&gt;0.01, C121*Jahreszins/ZahlungenProJahr, 0)</f>
        <v>0</v>
      </c>
      <c r="F121" s="11">
        <f>IF(C121&gt;0.01, D121-E121, 0)</f>
        <v>0</v>
      </c>
      <c r="G121" s="12"/>
      <c r="H121" s="11">
        <f>SUM(F121,G121)</f>
        <v>0</v>
      </c>
      <c r="I121" s="11">
        <f>C121-H121</f>
        <v>0</v>
      </c>
    </row>
    <row r="122" spans="1:9">
      <c r="A122">
        <f>IF(C122&gt;0.01, 121, "")</f>
        <v>0</v>
      </c>
      <c r="B122" s="10">
        <f>IF(C122&gt;0.01,EDATE(B121,12/ZahlungenProJahr),"")</f>
        <v>0</v>
      </c>
      <c r="C122" s="11">
        <f>I121</f>
        <v>0</v>
      </c>
      <c r="D122" s="11">
        <f>IF(C122&gt;0.01, MIN(Rate, C122*(1+Jahreszins/ZahlungenProJahr)), 0)</f>
        <v>0</v>
      </c>
      <c r="E122" s="11">
        <f>IF(C122&gt;0.01, C122*Jahreszins/ZahlungenProJahr, 0)</f>
        <v>0</v>
      </c>
      <c r="F122" s="11">
        <f>IF(C122&gt;0.01, D122-E122, 0)</f>
        <v>0</v>
      </c>
      <c r="G122" s="12"/>
      <c r="H122" s="11">
        <f>SUM(F122,G122)</f>
        <v>0</v>
      </c>
      <c r="I122" s="11">
        <f>C122-H122</f>
        <v>0</v>
      </c>
    </row>
    <row r="123" spans="1:9">
      <c r="A123">
        <f>IF(C123&gt;0.01, 122, "")</f>
        <v>0</v>
      </c>
      <c r="B123" s="10">
        <f>IF(C123&gt;0.01,EDATE(B122,12/ZahlungenProJahr),"")</f>
        <v>0</v>
      </c>
      <c r="C123" s="11">
        <f>I122</f>
        <v>0</v>
      </c>
      <c r="D123" s="11">
        <f>IF(C123&gt;0.01, MIN(Rate, C123*(1+Jahreszins/ZahlungenProJahr)), 0)</f>
        <v>0</v>
      </c>
      <c r="E123" s="11">
        <f>IF(C123&gt;0.01, C123*Jahreszins/ZahlungenProJahr, 0)</f>
        <v>0</v>
      </c>
      <c r="F123" s="11">
        <f>IF(C123&gt;0.01, D123-E123, 0)</f>
        <v>0</v>
      </c>
      <c r="G123" s="12"/>
      <c r="H123" s="11">
        <f>SUM(F123,G123)</f>
        <v>0</v>
      </c>
      <c r="I123" s="11">
        <f>C123-H123</f>
        <v>0</v>
      </c>
    </row>
    <row r="124" spans="1:9">
      <c r="A124">
        <f>IF(C124&gt;0.01, 123, "")</f>
        <v>0</v>
      </c>
      <c r="B124" s="10">
        <f>IF(C124&gt;0.01,EDATE(B123,12/ZahlungenProJahr),"")</f>
        <v>0</v>
      </c>
      <c r="C124" s="11">
        <f>I123</f>
        <v>0</v>
      </c>
      <c r="D124" s="11">
        <f>IF(C124&gt;0.01, MIN(Rate, C124*(1+Jahreszins/ZahlungenProJahr)), 0)</f>
        <v>0</v>
      </c>
      <c r="E124" s="11">
        <f>IF(C124&gt;0.01, C124*Jahreszins/ZahlungenProJahr, 0)</f>
        <v>0</v>
      </c>
      <c r="F124" s="11">
        <f>IF(C124&gt;0.01, D124-E124, 0)</f>
        <v>0</v>
      </c>
      <c r="G124" s="12"/>
      <c r="H124" s="11">
        <f>SUM(F124,G124)</f>
        <v>0</v>
      </c>
      <c r="I124" s="11">
        <f>C124-H124</f>
        <v>0</v>
      </c>
    </row>
    <row r="125" spans="1:9">
      <c r="A125">
        <f>IF(C125&gt;0.01, 124, "")</f>
        <v>0</v>
      </c>
      <c r="B125" s="10">
        <f>IF(C125&gt;0.01,EDATE(B124,12/ZahlungenProJahr),"")</f>
        <v>0</v>
      </c>
      <c r="C125" s="11">
        <f>I124</f>
        <v>0</v>
      </c>
      <c r="D125" s="11">
        <f>IF(C125&gt;0.01, MIN(Rate, C125*(1+Jahreszins/ZahlungenProJahr)), 0)</f>
        <v>0</v>
      </c>
      <c r="E125" s="11">
        <f>IF(C125&gt;0.01, C125*Jahreszins/ZahlungenProJahr, 0)</f>
        <v>0</v>
      </c>
      <c r="F125" s="11">
        <f>IF(C125&gt;0.01, D125-E125, 0)</f>
        <v>0</v>
      </c>
      <c r="G125" s="12"/>
      <c r="H125" s="11">
        <f>SUM(F125,G125)</f>
        <v>0</v>
      </c>
      <c r="I125" s="11">
        <f>C125-H125</f>
        <v>0</v>
      </c>
    </row>
    <row r="126" spans="1:9">
      <c r="A126">
        <f>IF(C126&gt;0.01, 125, "")</f>
        <v>0</v>
      </c>
      <c r="B126" s="10">
        <f>IF(C126&gt;0.01,EDATE(B125,12/ZahlungenProJahr),"")</f>
        <v>0</v>
      </c>
      <c r="C126" s="11">
        <f>I125</f>
        <v>0</v>
      </c>
      <c r="D126" s="11">
        <f>IF(C126&gt;0.01, MIN(Rate, C126*(1+Jahreszins/ZahlungenProJahr)), 0)</f>
        <v>0</v>
      </c>
      <c r="E126" s="11">
        <f>IF(C126&gt;0.01, C126*Jahreszins/ZahlungenProJahr, 0)</f>
        <v>0</v>
      </c>
      <c r="F126" s="11">
        <f>IF(C126&gt;0.01, D126-E126, 0)</f>
        <v>0</v>
      </c>
      <c r="G126" s="12"/>
      <c r="H126" s="11">
        <f>SUM(F126,G126)</f>
        <v>0</v>
      </c>
      <c r="I126" s="11">
        <f>C126-H126</f>
        <v>0</v>
      </c>
    </row>
    <row r="127" spans="1:9">
      <c r="A127">
        <f>IF(C127&gt;0.01, 126, "")</f>
        <v>0</v>
      </c>
      <c r="B127" s="10">
        <f>IF(C127&gt;0.01,EDATE(B126,12/ZahlungenProJahr),"")</f>
        <v>0</v>
      </c>
      <c r="C127" s="11">
        <f>I126</f>
        <v>0</v>
      </c>
      <c r="D127" s="11">
        <f>IF(C127&gt;0.01, MIN(Rate, C127*(1+Jahreszins/ZahlungenProJahr)), 0)</f>
        <v>0</v>
      </c>
      <c r="E127" s="11">
        <f>IF(C127&gt;0.01, C127*Jahreszins/ZahlungenProJahr, 0)</f>
        <v>0</v>
      </c>
      <c r="F127" s="11">
        <f>IF(C127&gt;0.01, D127-E127, 0)</f>
        <v>0</v>
      </c>
      <c r="G127" s="12"/>
      <c r="H127" s="11">
        <f>SUM(F127,G127)</f>
        <v>0</v>
      </c>
      <c r="I127" s="11">
        <f>C127-H127</f>
        <v>0</v>
      </c>
    </row>
    <row r="128" spans="1:9">
      <c r="A128">
        <f>IF(C128&gt;0.01, 127, "")</f>
        <v>0</v>
      </c>
      <c r="B128" s="10">
        <f>IF(C128&gt;0.01,EDATE(B127,12/ZahlungenProJahr),"")</f>
        <v>0</v>
      </c>
      <c r="C128" s="11">
        <f>I127</f>
        <v>0</v>
      </c>
      <c r="D128" s="11">
        <f>IF(C128&gt;0.01, MIN(Rate, C128*(1+Jahreszins/ZahlungenProJahr)), 0)</f>
        <v>0</v>
      </c>
      <c r="E128" s="11">
        <f>IF(C128&gt;0.01, C128*Jahreszins/ZahlungenProJahr, 0)</f>
        <v>0</v>
      </c>
      <c r="F128" s="11">
        <f>IF(C128&gt;0.01, D128-E128, 0)</f>
        <v>0</v>
      </c>
      <c r="G128" s="12"/>
      <c r="H128" s="11">
        <f>SUM(F128,G128)</f>
        <v>0</v>
      </c>
      <c r="I128" s="11">
        <f>C128-H128</f>
        <v>0</v>
      </c>
    </row>
    <row r="129" spans="1:9">
      <c r="A129">
        <f>IF(C129&gt;0.01, 128, "")</f>
        <v>0</v>
      </c>
      <c r="B129" s="10">
        <f>IF(C129&gt;0.01,EDATE(B128,12/ZahlungenProJahr),"")</f>
        <v>0</v>
      </c>
      <c r="C129" s="11">
        <f>I128</f>
        <v>0</v>
      </c>
      <c r="D129" s="11">
        <f>IF(C129&gt;0.01, MIN(Rate, C129*(1+Jahreszins/ZahlungenProJahr)), 0)</f>
        <v>0</v>
      </c>
      <c r="E129" s="11">
        <f>IF(C129&gt;0.01, C129*Jahreszins/ZahlungenProJahr, 0)</f>
        <v>0</v>
      </c>
      <c r="F129" s="11">
        <f>IF(C129&gt;0.01, D129-E129, 0)</f>
        <v>0</v>
      </c>
      <c r="G129" s="12"/>
      <c r="H129" s="11">
        <f>SUM(F129,G129)</f>
        <v>0</v>
      </c>
      <c r="I129" s="11">
        <f>C129-H129</f>
        <v>0</v>
      </c>
    </row>
    <row r="130" spans="1:9">
      <c r="A130">
        <f>IF(C130&gt;0.01, 129, "")</f>
        <v>0</v>
      </c>
      <c r="B130" s="10">
        <f>IF(C130&gt;0.01,EDATE(B129,12/ZahlungenProJahr),"")</f>
        <v>0</v>
      </c>
      <c r="C130" s="11">
        <f>I129</f>
        <v>0</v>
      </c>
      <c r="D130" s="11">
        <f>IF(C130&gt;0.01, MIN(Rate, C130*(1+Jahreszins/ZahlungenProJahr)), 0)</f>
        <v>0</v>
      </c>
      <c r="E130" s="11">
        <f>IF(C130&gt;0.01, C130*Jahreszins/ZahlungenProJahr, 0)</f>
        <v>0</v>
      </c>
      <c r="F130" s="11">
        <f>IF(C130&gt;0.01, D130-E130, 0)</f>
        <v>0</v>
      </c>
      <c r="G130" s="12"/>
      <c r="H130" s="11">
        <f>SUM(F130,G130)</f>
        <v>0</v>
      </c>
      <c r="I130" s="11">
        <f>C130-H130</f>
        <v>0</v>
      </c>
    </row>
    <row r="131" spans="1:9">
      <c r="A131">
        <f>IF(C131&gt;0.01, 130, "")</f>
        <v>0</v>
      </c>
      <c r="B131" s="10">
        <f>IF(C131&gt;0.01,EDATE(B130,12/ZahlungenProJahr),"")</f>
        <v>0</v>
      </c>
      <c r="C131" s="11">
        <f>I130</f>
        <v>0</v>
      </c>
      <c r="D131" s="11">
        <f>IF(C131&gt;0.01, MIN(Rate, C131*(1+Jahreszins/ZahlungenProJahr)), 0)</f>
        <v>0</v>
      </c>
      <c r="E131" s="11">
        <f>IF(C131&gt;0.01, C131*Jahreszins/ZahlungenProJahr, 0)</f>
        <v>0</v>
      </c>
      <c r="F131" s="11">
        <f>IF(C131&gt;0.01, D131-E131, 0)</f>
        <v>0</v>
      </c>
      <c r="G131" s="12"/>
      <c r="H131" s="11">
        <f>SUM(F131,G131)</f>
        <v>0</v>
      </c>
      <c r="I131" s="11">
        <f>C131-H131</f>
        <v>0</v>
      </c>
    </row>
    <row r="132" spans="1:9">
      <c r="A132">
        <f>IF(C132&gt;0.01, 131, "")</f>
        <v>0</v>
      </c>
      <c r="B132" s="10">
        <f>IF(C132&gt;0.01,EDATE(B131,12/ZahlungenProJahr),"")</f>
        <v>0</v>
      </c>
      <c r="C132" s="11">
        <f>I131</f>
        <v>0</v>
      </c>
      <c r="D132" s="11">
        <f>IF(C132&gt;0.01, MIN(Rate, C132*(1+Jahreszins/ZahlungenProJahr)), 0)</f>
        <v>0</v>
      </c>
      <c r="E132" s="11">
        <f>IF(C132&gt;0.01, C132*Jahreszins/ZahlungenProJahr, 0)</f>
        <v>0</v>
      </c>
      <c r="F132" s="11">
        <f>IF(C132&gt;0.01, D132-E132, 0)</f>
        <v>0</v>
      </c>
      <c r="G132" s="12"/>
      <c r="H132" s="11">
        <f>SUM(F132,G132)</f>
        <v>0</v>
      </c>
      <c r="I132" s="11">
        <f>C132-H132</f>
        <v>0</v>
      </c>
    </row>
    <row r="133" spans="1:9">
      <c r="A133">
        <f>IF(C133&gt;0.01, 132, "")</f>
        <v>0</v>
      </c>
      <c r="B133" s="10">
        <f>IF(C133&gt;0.01,EDATE(B132,12/ZahlungenProJahr),"")</f>
        <v>0</v>
      </c>
      <c r="C133" s="11">
        <f>I132</f>
        <v>0</v>
      </c>
      <c r="D133" s="11">
        <f>IF(C133&gt;0.01, MIN(Rate, C133*(1+Jahreszins/ZahlungenProJahr)), 0)</f>
        <v>0</v>
      </c>
      <c r="E133" s="11">
        <f>IF(C133&gt;0.01, C133*Jahreszins/ZahlungenProJahr, 0)</f>
        <v>0</v>
      </c>
      <c r="F133" s="11">
        <f>IF(C133&gt;0.01, D133-E133, 0)</f>
        <v>0</v>
      </c>
      <c r="G133" s="12"/>
      <c r="H133" s="11">
        <f>SUM(F133,G133)</f>
        <v>0</v>
      </c>
      <c r="I133" s="11">
        <f>C133-H133</f>
        <v>0</v>
      </c>
    </row>
    <row r="134" spans="1:9">
      <c r="A134">
        <f>IF(C134&gt;0.01, 133, "")</f>
        <v>0</v>
      </c>
      <c r="B134" s="10">
        <f>IF(C134&gt;0.01,EDATE(B133,12/ZahlungenProJahr),"")</f>
        <v>0</v>
      </c>
      <c r="C134" s="11">
        <f>I133</f>
        <v>0</v>
      </c>
      <c r="D134" s="11">
        <f>IF(C134&gt;0.01, MIN(Rate, C134*(1+Jahreszins/ZahlungenProJahr)), 0)</f>
        <v>0</v>
      </c>
      <c r="E134" s="11">
        <f>IF(C134&gt;0.01, C134*Jahreszins/ZahlungenProJahr, 0)</f>
        <v>0</v>
      </c>
      <c r="F134" s="11">
        <f>IF(C134&gt;0.01, D134-E134, 0)</f>
        <v>0</v>
      </c>
      <c r="G134" s="12"/>
      <c r="H134" s="11">
        <f>SUM(F134,G134)</f>
        <v>0</v>
      </c>
      <c r="I134" s="11">
        <f>C134-H134</f>
        <v>0</v>
      </c>
    </row>
    <row r="135" spans="1:9">
      <c r="A135">
        <f>IF(C135&gt;0.01, 134, "")</f>
        <v>0</v>
      </c>
      <c r="B135" s="10">
        <f>IF(C135&gt;0.01,EDATE(B134,12/ZahlungenProJahr),"")</f>
        <v>0</v>
      </c>
      <c r="C135" s="11">
        <f>I134</f>
        <v>0</v>
      </c>
      <c r="D135" s="11">
        <f>IF(C135&gt;0.01, MIN(Rate, C135*(1+Jahreszins/ZahlungenProJahr)), 0)</f>
        <v>0</v>
      </c>
      <c r="E135" s="11">
        <f>IF(C135&gt;0.01, C135*Jahreszins/ZahlungenProJahr, 0)</f>
        <v>0</v>
      </c>
      <c r="F135" s="11">
        <f>IF(C135&gt;0.01, D135-E135, 0)</f>
        <v>0</v>
      </c>
      <c r="G135" s="12"/>
      <c r="H135" s="11">
        <f>SUM(F135,G135)</f>
        <v>0</v>
      </c>
      <c r="I135" s="11">
        <f>C135-H135</f>
        <v>0</v>
      </c>
    </row>
    <row r="136" spans="1:9">
      <c r="A136">
        <f>IF(C136&gt;0.01, 135, "")</f>
        <v>0</v>
      </c>
      <c r="B136" s="10">
        <f>IF(C136&gt;0.01,EDATE(B135,12/ZahlungenProJahr),"")</f>
        <v>0</v>
      </c>
      <c r="C136" s="11">
        <f>I135</f>
        <v>0</v>
      </c>
      <c r="D136" s="11">
        <f>IF(C136&gt;0.01, MIN(Rate, C136*(1+Jahreszins/ZahlungenProJahr)), 0)</f>
        <v>0</v>
      </c>
      <c r="E136" s="11">
        <f>IF(C136&gt;0.01, C136*Jahreszins/ZahlungenProJahr, 0)</f>
        <v>0</v>
      </c>
      <c r="F136" s="11">
        <f>IF(C136&gt;0.01, D136-E136, 0)</f>
        <v>0</v>
      </c>
      <c r="G136" s="12"/>
      <c r="H136" s="11">
        <f>SUM(F136,G136)</f>
        <v>0</v>
      </c>
      <c r="I136" s="11">
        <f>C136-H136</f>
        <v>0</v>
      </c>
    </row>
    <row r="137" spans="1:9">
      <c r="A137">
        <f>IF(C137&gt;0.01, 136, "")</f>
        <v>0</v>
      </c>
      <c r="B137" s="10">
        <f>IF(C137&gt;0.01,EDATE(B136,12/ZahlungenProJahr),"")</f>
        <v>0</v>
      </c>
      <c r="C137" s="11">
        <f>I136</f>
        <v>0</v>
      </c>
      <c r="D137" s="11">
        <f>IF(C137&gt;0.01, MIN(Rate, C137*(1+Jahreszins/ZahlungenProJahr)), 0)</f>
        <v>0</v>
      </c>
      <c r="E137" s="11">
        <f>IF(C137&gt;0.01, C137*Jahreszins/ZahlungenProJahr, 0)</f>
        <v>0</v>
      </c>
      <c r="F137" s="11">
        <f>IF(C137&gt;0.01, D137-E137, 0)</f>
        <v>0</v>
      </c>
      <c r="G137" s="12"/>
      <c r="H137" s="11">
        <f>SUM(F137,G137)</f>
        <v>0</v>
      </c>
      <c r="I137" s="11">
        <f>C137-H137</f>
        <v>0</v>
      </c>
    </row>
    <row r="138" spans="1:9">
      <c r="A138">
        <f>IF(C138&gt;0.01, 137, "")</f>
        <v>0</v>
      </c>
      <c r="B138" s="10">
        <f>IF(C138&gt;0.01,EDATE(B137,12/ZahlungenProJahr),"")</f>
        <v>0</v>
      </c>
      <c r="C138" s="11">
        <f>I137</f>
        <v>0</v>
      </c>
      <c r="D138" s="11">
        <f>IF(C138&gt;0.01, MIN(Rate, C138*(1+Jahreszins/ZahlungenProJahr)), 0)</f>
        <v>0</v>
      </c>
      <c r="E138" s="11">
        <f>IF(C138&gt;0.01, C138*Jahreszins/ZahlungenProJahr, 0)</f>
        <v>0</v>
      </c>
      <c r="F138" s="11">
        <f>IF(C138&gt;0.01, D138-E138, 0)</f>
        <v>0</v>
      </c>
      <c r="G138" s="12"/>
      <c r="H138" s="11">
        <f>SUM(F138,G138)</f>
        <v>0</v>
      </c>
      <c r="I138" s="11">
        <f>C138-H138</f>
        <v>0</v>
      </c>
    </row>
    <row r="139" spans="1:9">
      <c r="A139">
        <f>IF(C139&gt;0.01, 138, "")</f>
        <v>0</v>
      </c>
      <c r="B139" s="10">
        <f>IF(C139&gt;0.01,EDATE(B138,12/ZahlungenProJahr),"")</f>
        <v>0</v>
      </c>
      <c r="C139" s="11">
        <f>I138</f>
        <v>0</v>
      </c>
      <c r="D139" s="11">
        <f>IF(C139&gt;0.01, MIN(Rate, C139*(1+Jahreszins/ZahlungenProJahr)), 0)</f>
        <v>0</v>
      </c>
      <c r="E139" s="11">
        <f>IF(C139&gt;0.01, C139*Jahreszins/ZahlungenProJahr, 0)</f>
        <v>0</v>
      </c>
      <c r="F139" s="11">
        <f>IF(C139&gt;0.01, D139-E139, 0)</f>
        <v>0</v>
      </c>
      <c r="G139" s="12"/>
      <c r="H139" s="11">
        <f>SUM(F139,G139)</f>
        <v>0</v>
      </c>
      <c r="I139" s="11">
        <f>C139-H139</f>
        <v>0</v>
      </c>
    </row>
    <row r="140" spans="1:9">
      <c r="A140">
        <f>IF(C140&gt;0.01, 139, "")</f>
        <v>0</v>
      </c>
      <c r="B140" s="10">
        <f>IF(C140&gt;0.01,EDATE(B139,12/ZahlungenProJahr),"")</f>
        <v>0</v>
      </c>
      <c r="C140" s="11">
        <f>I139</f>
        <v>0</v>
      </c>
      <c r="D140" s="11">
        <f>IF(C140&gt;0.01, MIN(Rate, C140*(1+Jahreszins/ZahlungenProJahr)), 0)</f>
        <v>0</v>
      </c>
      <c r="E140" s="11">
        <f>IF(C140&gt;0.01, C140*Jahreszins/ZahlungenProJahr, 0)</f>
        <v>0</v>
      </c>
      <c r="F140" s="11">
        <f>IF(C140&gt;0.01, D140-E140, 0)</f>
        <v>0</v>
      </c>
      <c r="G140" s="12"/>
      <c r="H140" s="11">
        <f>SUM(F140,G140)</f>
        <v>0</v>
      </c>
      <c r="I140" s="11">
        <f>C140-H140</f>
        <v>0</v>
      </c>
    </row>
    <row r="141" spans="1:9">
      <c r="A141">
        <f>IF(C141&gt;0.01, 140, "")</f>
        <v>0</v>
      </c>
      <c r="B141" s="10">
        <f>IF(C141&gt;0.01,EDATE(B140,12/ZahlungenProJahr),"")</f>
        <v>0</v>
      </c>
      <c r="C141" s="11">
        <f>I140</f>
        <v>0</v>
      </c>
      <c r="D141" s="11">
        <f>IF(C141&gt;0.01, MIN(Rate, C141*(1+Jahreszins/ZahlungenProJahr)), 0)</f>
        <v>0</v>
      </c>
      <c r="E141" s="11">
        <f>IF(C141&gt;0.01, C141*Jahreszins/ZahlungenProJahr, 0)</f>
        <v>0</v>
      </c>
      <c r="F141" s="11">
        <f>IF(C141&gt;0.01, D141-E141, 0)</f>
        <v>0</v>
      </c>
      <c r="G141" s="12"/>
      <c r="H141" s="11">
        <f>SUM(F141,G141)</f>
        <v>0</v>
      </c>
      <c r="I141" s="11">
        <f>C141-H141</f>
        <v>0</v>
      </c>
    </row>
    <row r="142" spans="1:9">
      <c r="A142">
        <f>IF(C142&gt;0.01, 141, "")</f>
        <v>0</v>
      </c>
      <c r="B142" s="10">
        <f>IF(C142&gt;0.01,EDATE(B141,12/ZahlungenProJahr),"")</f>
        <v>0</v>
      </c>
      <c r="C142" s="11">
        <f>I141</f>
        <v>0</v>
      </c>
      <c r="D142" s="11">
        <f>IF(C142&gt;0.01, MIN(Rate, C142*(1+Jahreszins/ZahlungenProJahr)), 0)</f>
        <v>0</v>
      </c>
      <c r="E142" s="11">
        <f>IF(C142&gt;0.01, C142*Jahreszins/ZahlungenProJahr, 0)</f>
        <v>0</v>
      </c>
      <c r="F142" s="11">
        <f>IF(C142&gt;0.01, D142-E142, 0)</f>
        <v>0</v>
      </c>
      <c r="G142" s="12"/>
      <c r="H142" s="11">
        <f>SUM(F142,G142)</f>
        <v>0</v>
      </c>
      <c r="I142" s="11">
        <f>C142-H142</f>
        <v>0</v>
      </c>
    </row>
    <row r="143" spans="1:9">
      <c r="A143">
        <f>IF(C143&gt;0.01, 142, "")</f>
        <v>0</v>
      </c>
      <c r="B143" s="10">
        <f>IF(C143&gt;0.01,EDATE(B142,12/ZahlungenProJahr),"")</f>
        <v>0</v>
      </c>
      <c r="C143" s="11">
        <f>I142</f>
        <v>0</v>
      </c>
      <c r="D143" s="11">
        <f>IF(C143&gt;0.01, MIN(Rate, C143*(1+Jahreszins/ZahlungenProJahr)), 0)</f>
        <v>0</v>
      </c>
      <c r="E143" s="11">
        <f>IF(C143&gt;0.01, C143*Jahreszins/ZahlungenProJahr, 0)</f>
        <v>0</v>
      </c>
      <c r="F143" s="11">
        <f>IF(C143&gt;0.01, D143-E143, 0)</f>
        <v>0</v>
      </c>
      <c r="G143" s="12"/>
      <c r="H143" s="11">
        <f>SUM(F143,G143)</f>
        <v>0</v>
      </c>
      <c r="I143" s="11">
        <f>C143-H143</f>
        <v>0</v>
      </c>
    </row>
    <row r="144" spans="1:9">
      <c r="A144">
        <f>IF(C144&gt;0.01, 143, "")</f>
        <v>0</v>
      </c>
      <c r="B144" s="10">
        <f>IF(C144&gt;0.01,EDATE(B143,12/ZahlungenProJahr),"")</f>
        <v>0</v>
      </c>
      <c r="C144" s="11">
        <f>I143</f>
        <v>0</v>
      </c>
      <c r="D144" s="11">
        <f>IF(C144&gt;0.01, MIN(Rate, C144*(1+Jahreszins/ZahlungenProJahr)), 0)</f>
        <v>0</v>
      </c>
      <c r="E144" s="11">
        <f>IF(C144&gt;0.01, C144*Jahreszins/ZahlungenProJahr, 0)</f>
        <v>0</v>
      </c>
      <c r="F144" s="11">
        <f>IF(C144&gt;0.01, D144-E144, 0)</f>
        <v>0</v>
      </c>
      <c r="G144" s="12"/>
      <c r="H144" s="11">
        <f>SUM(F144,G144)</f>
        <v>0</v>
      </c>
      <c r="I144" s="11">
        <f>C144-H144</f>
        <v>0</v>
      </c>
    </row>
    <row r="145" spans="1:9">
      <c r="A145">
        <f>IF(C145&gt;0.01, 144, "")</f>
        <v>0</v>
      </c>
      <c r="B145" s="10">
        <f>IF(C145&gt;0.01,EDATE(B144,12/ZahlungenProJahr),"")</f>
        <v>0</v>
      </c>
      <c r="C145" s="11">
        <f>I144</f>
        <v>0</v>
      </c>
      <c r="D145" s="11">
        <f>IF(C145&gt;0.01, MIN(Rate, C145*(1+Jahreszins/ZahlungenProJahr)), 0)</f>
        <v>0</v>
      </c>
      <c r="E145" s="11">
        <f>IF(C145&gt;0.01, C145*Jahreszins/ZahlungenProJahr, 0)</f>
        <v>0</v>
      </c>
      <c r="F145" s="11">
        <f>IF(C145&gt;0.01, D145-E145, 0)</f>
        <v>0</v>
      </c>
      <c r="G145" s="12"/>
      <c r="H145" s="11">
        <f>SUM(F145,G145)</f>
        <v>0</v>
      </c>
      <c r="I145" s="11">
        <f>C145-H145</f>
        <v>0</v>
      </c>
    </row>
    <row r="146" spans="1:9">
      <c r="A146">
        <f>IF(C146&gt;0.01, 145, "")</f>
        <v>0</v>
      </c>
      <c r="B146" s="10">
        <f>IF(C146&gt;0.01,EDATE(B145,12/ZahlungenProJahr),"")</f>
        <v>0</v>
      </c>
      <c r="C146" s="11">
        <f>I145</f>
        <v>0</v>
      </c>
      <c r="D146" s="11">
        <f>IF(C146&gt;0.01, MIN(Rate, C146*(1+Jahreszins/ZahlungenProJahr)), 0)</f>
        <v>0</v>
      </c>
      <c r="E146" s="11">
        <f>IF(C146&gt;0.01, C146*Jahreszins/ZahlungenProJahr, 0)</f>
        <v>0</v>
      </c>
      <c r="F146" s="11">
        <f>IF(C146&gt;0.01, D146-E146, 0)</f>
        <v>0</v>
      </c>
      <c r="G146" s="12"/>
      <c r="H146" s="11">
        <f>SUM(F146,G146)</f>
        <v>0</v>
      </c>
      <c r="I146" s="11">
        <f>C146-H146</f>
        <v>0</v>
      </c>
    </row>
    <row r="147" spans="1:9">
      <c r="A147">
        <f>IF(C147&gt;0.01, 146, "")</f>
        <v>0</v>
      </c>
      <c r="B147" s="10">
        <f>IF(C147&gt;0.01,EDATE(B146,12/ZahlungenProJahr),"")</f>
        <v>0</v>
      </c>
      <c r="C147" s="11">
        <f>I146</f>
        <v>0</v>
      </c>
      <c r="D147" s="11">
        <f>IF(C147&gt;0.01, MIN(Rate, C147*(1+Jahreszins/ZahlungenProJahr)), 0)</f>
        <v>0</v>
      </c>
      <c r="E147" s="11">
        <f>IF(C147&gt;0.01, C147*Jahreszins/ZahlungenProJahr, 0)</f>
        <v>0</v>
      </c>
      <c r="F147" s="11">
        <f>IF(C147&gt;0.01, D147-E147, 0)</f>
        <v>0</v>
      </c>
      <c r="G147" s="12"/>
      <c r="H147" s="11">
        <f>SUM(F147,G147)</f>
        <v>0</v>
      </c>
      <c r="I147" s="11">
        <f>C147-H147</f>
        <v>0</v>
      </c>
    </row>
    <row r="148" spans="1:9">
      <c r="A148">
        <f>IF(C148&gt;0.01, 147, "")</f>
        <v>0</v>
      </c>
      <c r="B148" s="10">
        <f>IF(C148&gt;0.01,EDATE(B147,12/ZahlungenProJahr),"")</f>
        <v>0</v>
      </c>
      <c r="C148" s="11">
        <f>I147</f>
        <v>0</v>
      </c>
      <c r="D148" s="11">
        <f>IF(C148&gt;0.01, MIN(Rate, C148*(1+Jahreszins/ZahlungenProJahr)), 0)</f>
        <v>0</v>
      </c>
      <c r="E148" s="11">
        <f>IF(C148&gt;0.01, C148*Jahreszins/ZahlungenProJahr, 0)</f>
        <v>0</v>
      </c>
      <c r="F148" s="11">
        <f>IF(C148&gt;0.01, D148-E148, 0)</f>
        <v>0</v>
      </c>
      <c r="G148" s="12"/>
      <c r="H148" s="11">
        <f>SUM(F148,G148)</f>
        <v>0</v>
      </c>
      <c r="I148" s="11">
        <f>C148-H148</f>
        <v>0</v>
      </c>
    </row>
    <row r="149" spans="1:9">
      <c r="A149">
        <f>IF(C149&gt;0.01, 148, "")</f>
        <v>0</v>
      </c>
      <c r="B149" s="10">
        <f>IF(C149&gt;0.01,EDATE(B148,12/ZahlungenProJahr),"")</f>
        <v>0</v>
      </c>
      <c r="C149" s="11">
        <f>I148</f>
        <v>0</v>
      </c>
      <c r="D149" s="11">
        <f>IF(C149&gt;0.01, MIN(Rate, C149*(1+Jahreszins/ZahlungenProJahr)), 0)</f>
        <v>0</v>
      </c>
      <c r="E149" s="11">
        <f>IF(C149&gt;0.01, C149*Jahreszins/ZahlungenProJahr, 0)</f>
        <v>0</v>
      </c>
      <c r="F149" s="11">
        <f>IF(C149&gt;0.01, D149-E149, 0)</f>
        <v>0</v>
      </c>
      <c r="G149" s="12"/>
      <c r="H149" s="11">
        <f>SUM(F149,G149)</f>
        <v>0</v>
      </c>
      <c r="I149" s="11">
        <f>C149-H149</f>
        <v>0</v>
      </c>
    </row>
    <row r="150" spans="1:9">
      <c r="A150">
        <f>IF(C150&gt;0.01, 149, "")</f>
        <v>0</v>
      </c>
      <c r="B150" s="10">
        <f>IF(C150&gt;0.01,EDATE(B149,12/ZahlungenProJahr),"")</f>
        <v>0</v>
      </c>
      <c r="C150" s="11">
        <f>I149</f>
        <v>0</v>
      </c>
      <c r="D150" s="11">
        <f>IF(C150&gt;0.01, MIN(Rate, C150*(1+Jahreszins/ZahlungenProJahr)), 0)</f>
        <v>0</v>
      </c>
      <c r="E150" s="11">
        <f>IF(C150&gt;0.01, C150*Jahreszins/ZahlungenProJahr, 0)</f>
        <v>0</v>
      </c>
      <c r="F150" s="11">
        <f>IF(C150&gt;0.01, D150-E150, 0)</f>
        <v>0</v>
      </c>
      <c r="G150" s="12"/>
      <c r="H150" s="11">
        <f>SUM(F150,G150)</f>
        <v>0</v>
      </c>
      <c r="I150" s="11">
        <f>C150-H150</f>
        <v>0</v>
      </c>
    </row>
    <row r="151" spans="1:9">
      <c r="A151">
        <f>IF(C151&gt;0.01, 150, "")</f>
        <v>0</v>
      </c>
      <c r="B151" s="10">
        <f>IF(C151&gt;0.01,EDATE(B150,12/ZahlungenProJahr),"")</f>
        <v>0</v>
      </c>
      <c r="C151" s="11">
        <f>I150</f>
        <v>0</v>
      </c>
      <c r="D151" s="11">
        <f>IF(C151&gt;0.01, MIN(Rate, C151*(1+Jahreszins/ZahlungenProJahr)), 0)</f>
        <v>0</v>
      </c>
      <c r="E151" s="11">
        <f>IF(C151&gt;0.01, C151*Jahreszins/ZahlungenProJahr, 0)</f>
        <v>0</v>
      </c>
      <c r="F151" s="11">
        <f>IF(C151&gt;0.01, D151-E151, 0)</f>
        <v>0</v>
      </c>
      <c r="G151" s="12"/>
      <c r="H151" s="11">
        <f>SUM(F151,G151)</f>
        <v>0</v>
      </c>
      <c r="I151" s="11">
        <f>C151-H151</f>
        <v>0</v>
      </c>
    </row>
    <row r="152" spans="1:9">
      <c r="A152">
        <f>IF(C152&gt;0.01, 151, "")</f>
        <v>0</v>
      </c>
      <c r="B152" s="10">
        <f>IF(C152&gt;0.01,EDATE(B151,12/ZahlungenProJahr),"")</f>
        <v>0</v>
      </c>
      <c r="C152" s="11">
        <f>I151</f>
        <v>0</v>
      </c>
      <c r="D152" s="11">
        <f>IF(C152&gt;0.01, MIN(Rate, C152*(1+Jahreszins/ZahlungenProJahr)), 0)</f>
        <v>0</v>
      </c>
      <c r="E152" s="11">
        <f>IF(C152&gt;0.01, C152*Jahreszins/ZahlungenProJahr, 0)</f>
        <v>0</v>
      </c>
      <c r="F152" s="11">
        <f>IF(C152&gt;0.01, D152-E152, 0)</f>
        <v>0</v>
      </c>
      <c r="G152" s="12"/>
      <c r="H152" s="11">
        <f>SUM(F152,G152)</f>
        <v>0</v>
      </c>
      <c r="I152" s="11">
        <f>C152-H152</f>
        <v>0</v>
      </c>
    </row>
    <row r="153" spans="1:9">
      <c r="A153">
        <f>IF(C153&gt;0.01, 152, "")</f>
        <v>0</v>
      </c>
      <c r="B153" s="10">
        <f>IF(C153&gt;0.01,EDATE(B152,12/ZahlungenProJahr),"")</f>
        <v>0</v>
      </c>
      <c r="C153" s="11">
        <f>I152</f>
        <v>0</v>
      </c>
      <c r="D153" s="11">
        <f>IF(C153&gt;0.01, MIN(Rate, C153*(1+Jahreszins/ZahlungenProJahr)), 0)</f>
        <v>0</v>
      </c>
      <c r="E153" s="11">
        <f>IF(C153&gt;0.01, C153*Jahreszins/ZahlungenProJahr, 0)</f>
        <v>0</v>
      </c>
      <c r="F153" s="11">
        <f>IF(C153&gt;0.01, D153-E153, 0)</f>
        <v>0</v>
      </c>
      <c r="G153" s="12"/>
      <c r="H153" s="11">
        <f>SUM(F153,G153)</f>
        <v>0</v>
      </c>
      <c r="I153" s="11">
        <f>C153-H153</f>
        <v>0</v>
      </c>
    </row>
    <row r="154" spans="1:9">
      <c r="A154">
        <f>IF(C154&gt;0.01, 153, "")</f>
        <v>0</v>
      </c>
      <c r="B154" s="10">
        <f>IF(C154&gt;0.01,EDATE(B153,12/ZahlungenProJahr),"")</f>
        <v>0</v>
      </c>
      <c r="C154" s="11">
        <f>I153</f>
        <v>0</v>
      </c>
      <c r="D154" s="11">
        <f>IF(C154&gt;0.01, MIN(Rate, C154*(1+Jahreszins/ZahlungenProJahr)), 0)</f>
        <v>0</v>
      </c>
      <c r="E154" s="11">
        <f>IF(C154&gt;0.01, C154*Jahreszins/ZahlungenProJahr, 0)</f>
        <v>0</v>
      </c>
      <c r="F154" s="11">
        <f>IF(C154&gt;0.01, D154-E154, 0)</f>
        <v>0</v>
      </c>
      <c r="G154" s="12"/>
      <c r="H154" s="11">
        <f>SUM(F154,G154)</f>
        <v>0</v>
      </c>
      <c r="I154" s="11">
        <f>C154-H154</f>
        <v>0</v>
      </c>
    </row>
    <row r="155" spans="1:9">
      <c r="A155">
        <f>IF(C155&gt;0.01, 154, "")</f>
        <v>0</v>
      </c>
      <c r="B155" s="10">
        <f>IF(C155&gt;0.01,EDATE(B154,12/ZahlungenProJahr),"")</f>
        <v>0</v>
      </c>
      <c r="C155" s="11">
        <f>I154</f>
        <v>0</v>
      </c>
      <c r="D155" s="11">
        <f>IF(C155&gt;0.01, MIN(Rate, C155*(1+Jahreszins/ZahlungenProJahr)), 0)</f>
        <v>0</v>
      </c>
      <c r="E155" s="11">
        <f>IF(C155&gt;0.01, C155*Jahreszins/ZahlungenProJahr, 0)</f>
        <v>0</v>
      </c>
      <c r="F155" s="11">
        <f>IF(C155&gt;0.01, D155-E155, 0)</f>
        <v>0</v>
      </c>
      <c r="G155" s="12"/>
      <c r="H155" s="11">
        <f>SUM(F155,G155)</f>
        <v>0</v>
      </c>
      <c r="I155" s="11">
        <f>C155-H155</f>
        <v>0</v>
      </c>
    </row>
    <row r="156" spans="1:9">
      <c r="A156">
        <f>IF(C156&gt;0.01, 155, "")</f>
        <v>0</v>
      </c>
      <c r="B156" s="10">
        <f>IF(C156&gt;0.01,EDATE(B155,12/ZahlungenProJahr),"")</f>
        <v>0</v>
      </c>
      <c r="C156" s="11">
        <f>I155</f>
        <v>0</v>
      </c>
      <c r="D156" s="11">
        <f>IF(C156&gt;0.01, MIN(Rate, C156*(1+Jahreszins/ZahlungenProJahr)), 0)</f>
        <v>0</v>
      </c>
      <c r="E156" s="11">
        <f>IF(C156&gt;0.01, C156*Jahreszins/ZahlungenProJahr, 0)</f>
        <v>0</v>
      </c>
      <c r="F156" s="11">
        <f>IF(C156&gt;0.01, D156-E156, 0)</f>
        <v>0</v>
      </c>
      <c r="G156" s="12"/>
      <c r="H156" s="11">
        <f>SUM(F156,G156)</f>
        <v>0</v>
      </c>
      <c r="I156" s="11">
        <f>C156-H156</f>
        <v>0</v>
      </c>
    </row>
    <row r="157" spans="1:9">
      <c r="A157">
        <f>IF(C157&gt;0.01, 156, "")</f>
        <v>0</v>
      </c>
      <c r="B157" s="10">
        <f>IF(C157&gt;0.01,EDATE(B156,12/ZahlungenProJahr),"")</f>
        <v>0</v>
      </c>
      <c r="C157" s="11">
        <f>I156</f>
        <v>0</v>
      </c>
      <c r="D157" s="11">
        <f>IF(C157&gt;0.01, MIN(Rate, C157*(1+Jahreszins/ZahlungenProJahr)), 0)</f>
        <v>0</v>
      </c>
      <c r="E157" s="11">
        <f>IF(C157&gt;0.01, C157*Jahreszins/ZahlungenProJahr, 0)</f>
        <v>0</v>
      </c>
      <c r="F157" s="11">
        <f>IF(C157&gt;0.01, D157-E157, 0)</f>
        <v>0</v>
      </c>
      <c r="G157" s="12"/>
      <c r="H157" s="11">
        <f>SUM(F157,G157)</f>
        <v>0</v>
      </c>
      <c r="I157" s="11">
        <f>C157-H157</f>
        <v>0</v>
      </c>
    </row>
    <row r="158" spans="1:9">
      <c r="A158">
        <f>IF(C158&gt;0.01, 157, "")</f>
        <v>0</v>
      </c>
      <c r="B158" s="10">
        <f>IF(C158&gt;0.01,EDATE(B157,12/ZahlungenProJahr),"")</f>
        <v>0</v>
      </c>
      <c r="C158" s="11">
        <f>I157</f>
        <v>0</v>
      </c>
      <c r="D158" s="11">
        <f>IF(C158&gt;0.01, MIN(Rate, C158*(1+Jahreszins/ZahlungenProJahr)), 0)</f>
        <v>0</v>
      </c>
      <c r="E158" s="11">
        <f>IF(C158&gt;0.01, C158*Jahreszins/ZahlungenProJahr, 0)</f>
        <v>0</v>
      </c>
      <c r="F158" s="11">
        <f>IF(C158&gt;0.01, D158-E158, 0)</f>
        <v>0</v>
      </c>
      <c r="G158" s="12"/>
      <c r="H158" s="11">
        <f>SUM(F158,G158)</f>
        <v>0</v>
      </c>
      <c r="I158" s="11">
        <f>C158-H158</f>
        <v>0</v>
      </c>
    </row>
    <row r="159" spans="1:9">
      <c r="A159">
        <f>IF(C159&gt;0.01, 158, "")</f>
        <v>0</v>
      </c>
      <c r="B159" s="10">
        <f>IF(C159&gt;0.01,EDATE(B158,12/ZahlungenProJahr),"")</f>
        <v>0</v>
      </c>
      <c r="C159" s="11">
        <f>I158</f>
        <v>0</v>
      </c>
      <c r="D159" s="11">
        <f>IF(C159&gt;0.01, MIN(Rate, C159*(1+Jahreszins/ZahlungenProJahr)), 0)</f>
        <v>0</v>
      </c>
      <c r="E159" s="11">
        <f>IF(C159&gt;0.01, C159*Jahreszins/ZahlungenProJahr, 0)</f>
        <v>0</v>
      </c>
      <c r="F159" s="11">
        <f>IF(C159&gt;0.01, D159-E159, 0)</f>
        <v>0</v>
      </c>
      <c r="G159" s="12"/>
      <c r="H159" s="11">
        <f>SUM(F159,G159)</f>
        <v>0</v>
      </c>
      <c r="I159" s="11">
        <f>C159-H159</f>
        <v>0</v>
      </c>
    </row>
    <row r="160" spans="1:9">
      <c r="A160">
        <f>IF(C160&gt;0.01, 159, "")</f>
        <v>0</v>
      </c>
      <c r="B160" s="10">
        <f>IF(C160&gt;0.01,EDATE(B159,12/ZahlungenProJahr),"")</f>
        <v>0</v>
      </c>
      <c r="C160" s="11">
        <f>I159</f>
        <v>0</v>
      </c>
      <c r="D160" s="11">
        <f>IF(C160&gt;0.01, MIN(Rate, C160*(1+Jahreszins/ZahlungenProJahr)), 0)</f>
        <v>0</v>
      </c>
      <c r="E160" s="11">
        <f>IF(C160&gt;0.01, C160*Jahreszins/ZahlungenProJahr, 0)</f>
        <v>0</v>
      </c>
      <c r="F160" s="11">
        <f>IF(C160&gt;0.01, D160-E160, 0)</f>
        <v>0</v>
      </c>
      <c r="G160" s="12"/>
      <c r="H160" s="11">
        <f>SUM(F160,G160)</f>
        <v>0</v>
      </c>
      <c r="I160" s="11">
        <f>C160-H160</f>
        <v>0</v>
      </c>
    </row>
    <row r="161" spans="1:9">
      <c r="A161">
        <f>IF(C161&gt;0.01, 160, "")</f>
        <v>0</v>
      </c>
      <c r="B161" s="10">
        <f>IF(C161&gt;0.01,EDATE(B160,12/ZahlungenProJahr),"")</f>
        <v>0</v>
      </c>
      <c r="C161" s="11">
        <f>I160</f>
        <v>0</v>
      </c>
      <c r="D161" s="11">
        <f>IF(C161&gt;0.01, MIN(Rate, C161*(1+Jahreszins/ZahlungenProJahr)), 0)</f>
        <v>0</v>
      </c>
      <c r="E161" s="11">
        <f>IF(C161&gt;0.01, C161*Jahreszins/ZahlungenProJahr, 0)</f>
        <v>0</v>
      </c>
      <c r="F161" s="11">
        <f>IF(C161&gt;0.01, D161-E161, 0)</f>
        <v>0</v>
      </c>
      <c r="G161" s="12"/>
      <c r="H161" s="11">
        <f>SUM(F161,G161)</f>
        <v>0</v>
      </c>
      <c r="I161" s="11">
        <f>C161-H161</f>
        <v>0</v>
      </c>
    </row>
    <row r="162" spans="1:9">
      <c r="A162">
        <f>IF(C162&gt;0.01, 161, "")</f>
        <v>0</v>
      </c>
      <c r="B162" s="10">
        <f>IF(C162&gt;0.01,EDATE(B161,12/ZahlungenProJahr),"")</f>
        <v>0</v>
      </c>
      <c r="C162" s="11">
        <f>I161</f>
        <v>0</v>
      </c>
      <c r="D162" s="11">
        <f>IF(C162&gt;0.01, MIN(Rate, C162*(1+Jahreszins/ZahlungenProJahr)), 0)</f>
        <v>0</v>
      </c>
      <c r="E162" s="11">
        <f>IF(C162&gt;0.01, C162*Jahreszins/ZahlungenProJahr, 0)</f>
        <v>0</v>
      </c>
      <c r="F162" s="11">
        <f>IF(C162&gt;0.01, D162-E162, 0)</f>
        <v>0</v>
      </c>
      <c r="G162" s="12"/>
      <c r="H162" s="11">
        <f>SUM(F162,G162)</f>
        <v>0</v>
      </c>
      <c r="I162" s="11">
        <f>C162-H162</f>
        <v>0</v>
      </c>
    </row>
    <row r="163" spans="1:9">
      <c r="A163">
        <f>IF(C163&gt;0.01, 162, "")</f>
        <v>0</v>
      </c>
      <c r="B163" s="10">
        <f>IF(C163&gt;0.01,EDATE(B162,12/ZahlungenProJahr),"")</f>
        <v>0</v>
      </c>
      <c r="C163" s="11">
        <f>I162</f>
        <v>0</v>
      </c>
      <c r="D163" s="11">
        <f>IF(C163&gt;0.01, MIN(Rate, C163*(1+Jahreszins/ZahlungenProJahr)), 0)</f>
        <v>0</v>
      </c>
      <c r="E163" s="11">
        <f>IF(C163&gt;0.01, C163*Jahreszins/ZahlungenProJahr, 0)</f>
        <v>0</v>
      </c>
      <c r="F163" s="11">
        <f>IF(C163&gt;0.01, D163-E163, 0)</f>
        <v>0</v>
      </c>
      <c r="G163" s="12"/>
      <c r="H163" s="11">
        <f>SUM(F163,G163)</f>
        <v>0</v>
      </c>
      <c r="I163" s="11">
        <f>C163-H163</f>
        <v>0</v>
      </c>
    </row>
    <row r="164" spans="1:9">
      <c r="A164">
        <f>IF(C164&gt;0.01, 163, "")</f>
        <v>0</v>
      </c>
      <c r="B164" s="10">
        <f>IF(C164&gt;0.01,EDATE(B163,12/ZahlungenProJahr),"")</f>
        <v>0</v>
      </c>
      <c r="C164" s="11">
        <f>I163</f>
        <v>0</v>
      </c>
      <c r="D164" s="11">
        <f>IF(C164&gt;0.01, MIN(Rate, C164*(1+Jahreszins/ZahlungenProJahr)), 0)</f>
        <v>0</v>
      </c>
      <c r="E164" s="11">
        <f>IF(C164&gt;0.01, C164*Jahreszins/ZahlungenProJahr, 0)</f>
        <v>0</v>
      </c>
      <c r="F164" s="11">
        <f>IF(C164&gt;0.01, D164-E164, 0)</f>
        <v>0</v>
      </c>
      <c r="G164" s="12"/>
      <c r="H164" s="11">
        <f>SUM(F164,G164)</f>
        <v>0</v>
      </c>
      <c r="I164" s="11">
        <f>C164-H164</f>
        <v>0</v>
      </c>
    </row>
    <row r="165" spans="1:9">
      <c r="A165">
        <f>IF(C165&gt;0.01, 164, "")</f>
        <v>0</v>
      </c>
      <c r="B165" s="10">
        <f>IF(C165&gt;0.01,EDATE(B164,12/ZahlungenProJahr),"")</f>
        <v>0</v>
      </c>
      <c r="C165" s="11">
        <f>I164</f>
        <v>0</v>
      </c>
      <c r="D165" s="11">
        <f>IF(C165&gt;0.01, MIN(Rate, C165*(1+Jahreszins/ZahlungenProJahr)), 0)</f>
        <v>0</v>
      </c>
      <c r="E165" s="11">
        <f>IF(C165&gt;0.01, C165*Jahreszins/ZahlungenProJahr, 0)</f>
        <v>0</v>
      </c>
      <c r="F165" s="11">
        <f>IF(C165&gt;0.01, D165-E165, 0)</f>
        <v>0</v>
      </c>
      <c r="G165" s="12"/>
      <c r="H165" s="11">
        <f>SUM(F165,G165)</f>
        <v>0</v>
      </c>
      <c r="I165" s="11">
        <f>C165-H165</f>
        <v>0</v>
      </c>
    </row>
    <row r="166" spans="1:9">
      <c r="A166">
        <f>IF(C166&gt;0.01, 165, "")</f>
        <v>0</v>
      </c>
      <c r="B166" s="10">
        <f>IF(C166&gt;0.01,EDATE(B165,12/ZahlungenProJahr),"")</f>
        <v>0</v>
      </c>
      <c r="C166" s="11">
        <f>I165</f>
        <v>0</v>
      </c>
      <c r="D166" s="11">
        <f>IF(C166&gt;0.01, MIN(Rate, C166*(1+Jahreszins/ZahlungenProJahr)), 0)</f>
        <v>0</v>
      </c>
      <c r="E166" s="11">
        <f>IF(C166&gt;0.01, C166*Jahreszins/ZahlungenProJahr, 0)</f>
        <v>0</v>
      </c>
      <c r="F166" s="11">
        <f>IF(C166&gt;0.01, D166-E166, 0)</f>
        <v>0</v>
      </c>
      <c r="G166" s="12"/>
      <c r="H166" s="11">
        <f>SUM(F166,G166)</f>
        <v>0</v>
      </c>
      <c r="I166" s="11">
        <f>C166-H166</f>
        <v>0</v>
      </c>
    </row>
    <row r="167" spans="1:9">
      <c r="A167">
        <f>IF(C167&gt;0.01, 166, "")</f>
        <v>0</v>
      </c>
      <c r="B167" s="10">
        <f>IF(C167&gt;0.01,EDATE(B166,12/ZahlungenProJahr),"")</f>
        <v>0</v>
      </c>
      <c r="C167" s="11">
        <f>I166</f>
        <v>0</v>
      </c>
      <c r="D167" s="11">
        <f>IF(C167&gt;0.01, MIN(Rate, C167*(1+Jahreszins/ZahlungenProJahr)), 0)</f>
        <v>0</v>
      </c>
      <c r="E167" s="11">
        <f>IF(C167&gt;0.01, C167*Jahreszins/ZahlungenProJahr, 0)</f>
        <v>0</v>
      </c>
      <c r="F167" s="11">
        <f>IF(C167&gt;0.01, D167-E167, 0)</f>
        <v>0</v>
      </c>
      <c r="G167" s="12"/>
      <c r="H167" s="11">
        <f>SUM(F167,G167)</f>
        <v>0</v>
      </c>
      <c r="I167" s="11">
        <f>C167-H167</f>
        <v>0</v>
      </c>
    </row>
    <row r="168" spans="1:9">
      <c r="A168">
        <f>IF(C168&gt;0.01, 167, "")</f>
        <v>0</v>
      </c>
      <c r="B168" s="10">
        <f>IF(C168&gt;0.01,EDATE(B167,12/ZahlungenProJahr),"")</f>
        <v>0</v>
      </c>
      <c r="C168" s="11">
        <f>I167</f>
        <v>0</v>
      </c>
      <c r="D168" s="11">
        <f>IF(C168&gt;0.01, MIN(Rate, C168*(1+Jahreszins/ZahlungenProJahr)), 0)</f>
        <v>0</v>
      </c>
      <c r="E168" s="11">
        <f>IF(C168&gt;0.01, C168*Jahreszins/ZahlungenProJahr, 0)</f>
        <v>0</v>
      </c>
      <c r="F168" s="11">
        <f>IF(C168&gt;0.01, D168-E168, 0)</f>
        <v>0</v>
      </c>
      <c r="G168" s="12"/>
      <c r="H168" s="11">
        <f>SUM(F168,G168)</f>
        <v>0</v>
      </c>
      <c r="I168" s="11">
        <f>C168-H168</f>
        <v>0</v>
      </c>
    </row>
    <row r="169" spans="1:9">
      <c r="A169">
        <f>IF(C169&gt;0.01, 168, "")</f>
        <v>0</v>
      </c>
      <c r="B169" s="10">
        <f>IF(C169&gt;0.01,EDATE(B168,12/ZahlungenProJahr),"")</f>
        <v>0</v>
      </c>
      <c r="C169" s="11">
        <f>I168</f>
        <v>0</v>
      </c>
      <c r="D169" s="11">
        <f>IF(C169&gt;0.01, MIN(Rate, C169*(1+Jahreszins/ZahlungenProJahr)), 0)</f>
        <v>0</v>
      </c>
      <c r="E169" s="11">
        <f>IF(C169&gt;0.01, C169*Jahreszins/ZahlungenProJahr, 0)</f>
        <v>0</v>
      </c>
      <c r="F169" s="11">
        <f>IF(C169&gt;0.01, D169-E169, 0)</f>
        <v>0</v>
      </c>
      <c r="G169" s="12"/>
      <c r="H169" s="11">
        <f>SUM(F169,G169)</f>
        <v>0</v>
      </c>
      <c r="I169" s="11">
        <f>C169-H169</f>
        <v>0</v>
      </c>
    </row>
    <row r="170" spans="1:9">
      <c r="A170">
        <f>IF(C170&gt;0.01, 169, "")</f>
        <v>0</v>
      </c>
      <c r="B170" s="10">
        <f>IF(C170&gt;0.01,EDATE(B169,12/ZahlungenProJahr),"")</f>
        <v>0</v>
      </c>
      <c r="C170" s="11">
        <f>I169</f>
        <v>0</v>
      </c>
      <c r="D170" s="11">
        <f>IF(C170&gt;0.01, MIN(Rate, C170*(1+Jahreszins/ZahlungenProJahr)), 0)</f>
        <v>0</v>
      </c>
      <c r="E170" s="11">
        <f>IF(C170&gt;0.01, C170*Jahreszins/ZahlungenProJahr, 0)</f>
        <v>0</v>
      </c>
      <c r="F170" s="11">
        <f>IF(C170&gt;0.01, D170-E170, 0)</f>
        <v>0</v>
      </c>
      <c r="G170" s="12"/>
      <c r="H170" s="11">
        <f>SUM(F170,G170)</f>
        <v>0</v>
      </c>
      <c r="I170" s="11">
        <f>C170-H170</f>
        <v>0</v>
      </c>
    </row>
    <row r="171" spans="1:9">
      <c r="A171">
        <f>IF(C171&gt;0.01, 170, "")</f>
        <v>0</v>
      </c>
      <c r="B171" s="10">
        <f>IF(C171&gt;0.01,EDATE(B170,12/ZahlungenProJahr),"")</f>
        <v>0</v>
      </c>
      <c r="C171" s="11">
        <f>I170</f>
        <v>0</v>
      </c>
      <c r="D171" s="11">
        <f>IF(C171&gt;0.01, MIN(Rate, C171*(1+Jahreszins/ZahlungenProJahr)), 0)</f>
        <v>0</v>
      </c>
      <c r="E171" s="11">
        <f>IF(C171&gt;0.01, C171*Jahreszins/ZahlungenProJahr, 0)</f>
        <v>0</v>
      </c>
      <c r="F171" s="11">
        <f>IF(C171&gt;0.01, D171-E171, 0)</f>
        <v>0</v>
      </c>
      <c r="G171" s="12"/>
      <c r="H171" s="11">
        <f>SUM(F171,G171)</f>
        <v>0</v>
      </c>
      <c r="I171" s="11">
        <f>C171-H171</f>
        <v>0</v>
      </c>
    </row>
    <row r="172" spans="1:9">
      <c r="A172">
        <f>IF(C172&gt;0.01, 171, "")</f>
        <v>0</v>
      </c>
      <c r="B172" s="10">
        <f>IF(C172&gt;0.01,EDATE(B171,12/ZahlungenProJahr),"")</f>
        <v>0</v>
      </c>
      <c r="C172" s="11">
        <f>I171</f>
        <v>0</v>
      </c>
      <c r="D172" s="11">
        <f>IF(C172&gt;0.01, MIN(Rate, C172*(1+Jahreszins/ZahlungenProJahr)), 0)</f>
        <v>0</v>
      </c>
      <c r="E172" s="11">
        <f>IF(C172&gt;0.01, C172*Jahreszins/ZahlungenProJahr, 0)</f>
        <v>0</v>
      </c>
      <c r="F172" s="11">
        <f>IF(C172&gt;0.01, D172-E172, 0)</f>
        <v>0</v>
      </c>
      <c r="G172" s="12"/>
      <c r="H172" s="11">
        <f>SUM(F172,G172)</f>
        <v>0</v>
      </c>
      <c r="I172" s="11">
        <f>C172-H172</f>
        <v>0</v>
      </c>
    </row>
    <row r="173" spans="1:9">
      <c r="A173">
        <f>IF(C173&gt;0.01, 172, "")</f>
        <v>0</v>
      </c>
      <c r="B173" s="10">
        <f>IF(C173&gt;0.01,EDATE(B172,12/ZahlungenProJahr),"")</f>
        <v>0</v>
      </c>
      <c r="C173" s="11">
        <f>I172</f>
        <v>0</v>
      </c>
      <c r="D173" s="11">
        <f>IF(C173&gt;0.01, MIN(Rate, C173*(1+Jahreszins/ZahlungenProJahr)), 0)</f>
        <v>0</v>
      </c>
      <c r="E173" s="11">
        <f>IF(C173&gt;0.01, C173*Jahreszins/ZahlungenProJahr, 0)</f>
        <v>0</v>
      </c>
      <c r="F173" s="11">
        <f>IF(C173&gt;0.01, D173-E173, 0)</f>
        <v>0</v>
      </c>
      <c r="G173" s="12"/>
      <c r="H173" s="11">
        <f>SUM(F173,G173)</f>
        <v>0</v>
      </c>
      <c r="I173" s="11">
        <f>C173-H173</f>
        <v>0</v>
      </c>
    </row>
    <row r="174" spans="1:9">
      <c r="A174">
        <f>IF(C174&gt;0.01, 173, "")</f>
        <v>0</v>
      </c>
      <c r="B174" s="10">
        <f>IF(C174&gt;0.01,EDATE(B173,12/ZahlungenProJahr),"")</f>
        <v>0</v>
      </c>
      <c r="C174" s="11">
        <f>I173</f>
        <v>0</v>
      </c>
      <c r="D174" s="11">
        <f>IF(C174&gt;0.01, MIN(Rate, C174*(1+Jahreszins/ZahlungenProJahr)), 0)</f>
        <v>0</v>
      </c>
      <c r="E174" s="11">
        <f>IF(C174&gt;0.01, C174*Jahreszins/ZahlungenProJahr, 0)</f>
        <v>0</v>
      </c>
      <c r="F174" s="11">
        <f>IF(C174&gt;0.01, D174-E174, 0)</f>
        <v>0</v>
      </c>
      <c r="G174" s="12"/>
      <c r="H174" s="11">
        <f>SUM(F174,G174)</f>
        <v>0</v>
      </c>
      <c r="I174" s="11">
        <f>C174-H174</f>
        <v>0</v>
      </c>
    </row>
    <row r="175" spans="1:9">
      <c r="A175">
        <f>IF(C175&gt;0.01, 174, "")</f>
        <v>0</v>
      </c>
      <c r="B175" s="10">
        <f>IF(C175&gt;0.01,EDATE(B174,12/ZahlungenProJahr),"")</f>
        <v>0</v>
      </c>
      <c r="C175" s="11">
        <f>I174</f>
        <v>0</v>
      </c>
      <c r="D175" s="11">
        <f>IF(C175&gt;0.01, MIN(Rate, C175*(1+Jahreszins/ZahlungenProJahr)), 0)</f>
        <v>0</v>
      </c>
      <c r="E175" s="11">
        <f>IF(C175&gt;0.01, C175*Jahreszins/ZahlungenProJahr, 0)</f>
        <v>0</v>
      </c>
      <c r="F175" s="11">
        <f>IF(C175&gt;0.01, D175-E175, 0)</f>
        <v>0</v>
      </c>
      <c r="G175" s="12"/>
      <c r="H175" s="11">
        <f>SUM(F175,G175)</f>
        <v>0</v>
      </c>
      <c r="I175" s="11">
        <f>C175-H175</f>
        <v>0</v>
      </c>
    </row>
    <row r="176" spans="1:9">
      <c r="A176">
        <f>IF(C176&gt;0.01, 175, "")</f>
        <v>0</v>
      </c>
      <c r="B176" s="10">
        <f>IF(C176&gt;0.01,EDATE(B175,12/ZahlungenProJahr),"")</f>
        <v>0</v>
      </c>
      <c r="C176" s="11">
        <f>I175</f>
        <v>0</v>
      </c>
      <c r="D176" s="11">
        <f>IF(C176&gt;0.01, MIN(Rate, C176*(1+Jahreszins/ZahlungenProJahr)), 0)</f>
        <v>0</v>
      </c>
      <c r="E176" s="11">
        <f>IF(C176&gt;0.01, C176*Jahreszins/ZahlungenProJahr, 0)</f>
        <v>0</v>
      </c>
      <c r="F176" s="11">
        <f>IF(C176&gt;0.01, D176-E176, 0)</f>
        <v>0</v>
      </c>
      <c r="G176" s="12"/>
      <c r="H176" s="11">
        <f>SUM(F176,G176)</f>
        <v>0</v>
      </c>
      <c r="I176" s="11">
        <f>C176-H176</f>
        <v>0</v>
      </c>
    </row>
    <row r="177" spans="1:9">
      <c r="A177">
        <f>IF(C177&gt;0.01, 176, "")</f>
        <v>0</v>
      </c>
      <c r="B177" s="10">
        <f>IF(C177&gt;0.01,EDATE(B176,12/ZahlungenProJahr),"")</f>
        <v>0</v>
      </c>
      <c r="C177" s="11">
        <f>I176</f>
        <v>0</v>
      </c>
      <c r="D177" s="11">
        <f>IF(C177&gt;0.01, MIN(Rate, C177*(1+Jahreszins/ZahlungenProJahr)), 0)</f>
        <v>0</v>
      </c>
      <c r="E177" s="11">
        <f>IF(C177&gt;0.01, C177*Jahreszins/ZahlungenProJahr, 0)</f>
        <v>0</v>
      </c>
      <c r="F177" s="11">
        <f>IF(C177&gt;0.01, D177-E177, 0)</f>
        <v>0</v>
      </c>
      <c r="G177" s="12"/>
      <c r="H177" s="11">
        <f>SUM(F177,G177)</f>
        <v>0</v>
      </c>
      <c r="I177" s="11">
        <f>C177-H177</f>
        <v>0</v>
      </c>
    </row>
    <row r="178" spans="1:9">
      <c r="A178">
        <f>IF(C178&gt;0.01, 177, "")</f>
        <v>0</v>
      </c>
      <c r="B178" s="10">
        <f>IF(C178&gt;0.01,EDATE(B177,12/ZahlungenProJahr),"")</f>
        <v>0</v>
      </c>
      <c r="C178" s="11">
        <f>I177</f>
        <v>0</v>
      </c>
      <c r="D178" s="11">
        <f>IF(C178&gt;0.01, MIN(Rate, C178*(1+Jahreszins/ZahlungenProJahr)), 0)</f>
        <v>0</v>
      </c>
      <c r="E178" s="11">
        <f>IF(C178&gt;0.01, C178*Jahreszins/ZahlungenProJahr, 0)</f>
        <v>0</v>
      </c>
      <c r="F178" s="11">
        <f>IF(C178&gt;0.01, D178-E178, 0)</f>
        <v>0</v>
      </c>
      <c r="G178" s="12"/>
      <c r="H178" s="11">
        <f>SUM(F178,G178)</f>
        <v>0</v>
      </c>
      <c r="I178" s="11">
        <f>C178-H178</f>
        <v>0</v>
      </c>
    </row>
    <row r="179" spans="1:9">
      <c r="A179">
        <f>IF(C179&gt;0.01, 178, "")</f>
        <v>0</v>
      </c>
      <c r="B179" s="10">
        <f>IF(C179&gt;0.01,EDATE(B178,12/ZahlungenProJahr),"")</f>
        <v>0</v>
      </c>
      <c r="C179" s="11">
        <f>I178</f>
        <v>0</v>
      </c>
      <c r="D179" s="11">
        <f>IF(C179&gt;0.01, MIN(Rate, C179*(1+Jahreszins/ZahlungenProJahr)), 0)</f>
        <v>0</v>
      </c>
      <c r="E179" s="11">
        <f>IF(C179&gt;0.01, C179*Jahreszins/ZahlungenProJahr, 0)</f>
        <v>0</v>
      </c>
      <c r="F179" s="11">
        <f>IF(C179&gt;0.01, D179-E179, 0)</f>
        <v>0</v>
      </c>
      <c r="G179" s="12"/>
      <c r="H179" s="11">
        <f>SUM(F179,G179)</f>
        <v>0</v>
      </c>
      <c r="I179" s="11">
        <f>C179-H179</f>
        <v>0</v>
      </c>
    </row>
    <row r="180" spans="1:9">
      <c r="A180">
        <f>IF(C180&gt;0.01, 179, "")</f>
        <v>0</v>
      </c>
      <c r="B180" s="10">
        <f>IF(C180&gt;0.01,EDATE(B179,12/ZahlungenProJahr),"")</f>
        <v>0</v>
      </c>
      <c r="C180" s="11">
        <f>I179</f>
        <v>0</v>
      </c>
      <c r="D180" s="11">
        <f>IF(C180&gt;0.01, MIN(Rate, C180*(1+Jahreszins/ZahlungenProJahr)), 0)</f>
        <v>0</v>
      </c>
      <c r="E180" s="11">
        <f>IF(C180&gt;0.01, C180*Jahreszins/ZahlungenProJahr, 0)</f>
        <v>0</v>
      </c>
      <c r="F180" s="11">
        <f>IF(C180&gt;0.01, D180-E180, 0)</f>
        <v>0</v>
      </c>
      <c r="G180" s="12"/>
      <c r="H180" s="11">
        <f>SUM(F180,G180)</f>
        <v>0</v>
      </c>
      <c r="I180" s="11">
        <f>C180-H180</f>
        <v>0</v>
      </c>
    </row>
    <row r="181" spans="1:9">
      <c r="A181">
        <f>IF(C181&gt;0.01, 180, "")</f>
        <v>0</v>
      </c>
      <c r="B181" s="10">
        <f>IF(C181&gt;0.01,EDATE(B180,12/ZahlungenProJahr),"")</f>
        <v>0</v>
      </c>
      <c r="C181" s="11">
        <f>I180</f>
        <v>0</v>
      </c>
      <c r="D181" s="11">
        <f>IF(C181&gt;0.01, MIN(Rate, C181*(1+Jahreszins/ZahlungenProJahr)), 0)</f>
        <v>0</v>
      </c>
      <c r="E181" s="11">
        <f>IF(C181&gt;0.01, C181*Jahreszins/ZahlungenProJahr, 0)</f>
        <v>0</v>
      </c>
      <c r="F181" s="11">
        <f>IF(C181&gt;0.01, D181-E181, 0)</f>
        <v>0</v>
      </c>
      <c r="G181" s="12"/>
      <c r="H181" s="11">
        <f>SUM(F181,G181)</f>
        <v>0</v>
      </c>
      <c r="I181" s="11">
        <f>C181-H181</f>
        <v>0</v>
      </c>
    </row>
    <row r="182" spans="1:9">
      <c r="A182">
        <f>IF(C182&gt;0.01, 181, "")</f>
        <v>0</v>
      </c>
      <c r="B182" s="10">
        <f>IF(C182&gt;0.01,EDATE(B181,12/ZahlungenProJahr),"")</f>
        <v>0</v>
      </c>
      <c r="C182" s="11">
        <f>I181</f>
        <v>0</v>
      </c>
      <c r="D182" s="11">
        <f>IF(C182&gt;0.01, MIN(Rate, C182*(1+Jahreszins/ZahlungenProJahr)), 0)</f>
        <v>0</v>
      </c>
      <c r="E182" s="11">
        <f>IF(C182&gt;0.01, C182*Jahreszins/ZahlungenProJahr, 0)</f>
        <v>0</v>
      </c>
      <c r="F182" s="11">
        <f>IF(C182&gt;0.01, D182-E182, 0)</f>
        <v>0</v>
      </c>
      <c r="G182" s="12"/>
      <c r="H182" s="11">
        <f>SUM(F182,G182)</f>
        <v>0</v>
      </c>
      <c r="I182" s="11">
        <f>C182-H182</f>
        <v>0</v>
      </c>
    </row>
    <row r="183" spans="1:9">
      <c r="A183">
        <f>IF(C183&gt;0.01, 182, "")</f>
        <v>0</v>
      </c>
      <c r="B183" s="10">
        <f>IF(C183&gt;0.01,EDATE(B182,12/ZahlungenProJahr),"")</f>
        <v>0</v>
      </c>
      <c r="C183" s="11">
        <f>I182</f>
        <v>0</v>
      </c>
      <c r="D183" s="11">
        <f>IF(C183&gt;0.01, MIN(Rate, C183*(1+Jahreszins/ZahlungenProJahr)), 0)</f>
        <v>0</v>
      </c>
      <c r="E183" s="11">
        <f>IF(C183&gt;0.01, C183*Jahreszins/ZahlungenProJahr, 0)</f>
        <v>0</v>
      </c>
      <c r="F183" s="11">
        <f>IF(C183&gt;0.01, D183-E183, 0)</f>
        <v>0</v>
      </c>
      <c r="G183" s="12"/>
      <c r="H183" s="11">
        <f>SUM(F183,G183)</f>
        <v>0</v>
      </c>
      <c r="I183" s="11">
        <f>C183-H183</f>
        <v>0</v>
      </c>
    </row>
    <row r="184" spans="1:9">
      <c r="A184">
        <f>IF(C184&gt;0.01, 183, "")</f>
        <v>0</v>
      </c>
      <c r="B184" s="10">
        <f>IF(C184&gt;0.01,EDATE(B183,12/ZahlungenProJahr),"")</f>
        <v>0</v>
      </c>
      <c r="C184" s="11">
        <f>I183</f>
        <v>0</v>
      </c>
      <c r="D184" s="11">
        <f>IF(C184&gt;0.01, MIN(Rate, C184*(1+Jahreszins/ZahlungenProJahr)), 0)</f>
        <v>0</v>
      </c>
      <c r="E184" s="11">
        <f>IF(C184&gt;0.01, C184*Jahreszins/ZahlungenProJahr, 0)</f>
        <v>0</v>
      </c>
      <c r="F184" s="11">
        <f>IF(C184&gt;0.01, D184-E184, 0)</f>
        <v>0</v>
      </c>
      <c r="G184" s="12"/>
      <c r="H184" s="11">
        <f>SUM(F184,G184)</f>
        <v>0</v>
      </c>
      <c r="I184" s="11">
        <f>C184-H184</f>
        <v>0</v>
      </c>
    </row>
    <row r="185" spans="1:9">
      <c r="A185">
        <f>IF(C185&gt;0.01, 184, "")</f>
        <v>0</v>
      </c>
      <c r="B185" s="10">
        <f>IF(C185&gt;0.01,EDATE(B184,12/ZahlungenProJahr),"")</f>
        <v>0</v>
      </c>
      <c r="C185" s="11">
        <f>I184</f>
        <v>0</v>
      </c>
      <c r="D185" s="11">
        <f>IF(C185&gt;0.01, MIN(Rate, C185*(1+Jahreszins/ZahlungenProJahr)), 0)</f>
        <v>0</v>
      </c>
      <c r="E185" s="11">
        <f>IF(C185&gt;0.01, C185*Jahreszins/ZahlungenProJahr, 0)</f>
        <v>0</v>
      </c>
      <c r="F185" s="11">
        <f>IF(C185&gt;0.01, D185-E185, 0)</f>
        <v>0</v>
      </c>
      <c r="G185" s="12"/>
      <c r="H185" s="11">
        <f>SUM(F185,G185)</f>
        <v>0</v>
      </c>
      <c r="I185" s="11">
        <f>C185-H185</f>
        <v>0</v>
      </c>
    </row>
    <row r="186" spans="1:9">
      <c r="A186">
        <f>IF(C186&gt;0.01, 185, "")</f>
        <v>0</v>
      </c>
      <c r="B186" s="10">
        <f>IF(C186&gt;0.01,EDATE(B185,12/ZahlungenProJahr),"")</f>
        <v>0</v>
      </c>
      <c r="C186" s="11">
        <f>I185</f>
        <v>0</v>
      </c>
      <c r="D186" s="11">
        <f>IF(C186&gt;0.01, MIN(Rate, C186*(1+Jahreszins/ZahlungenProJahr)), 0)</f>
        <v>0</v>
      </c>
      <c r="E186" s="11">
        <f>IF(C186&gt;0.01, C186*Jahreszins/ZahlungenProJahr, 0)</f>
        <v>0</v>
      </c>
      <c r="F186" s="11">
        <f>IF(C186&gt;0.01, D186-E186, 0)</f>
        <v>0</v>
      </c>
      <c r="G186" s="12"/>
      <c r="H186" s="11">
        <f>SUM(F186,G186)</f>
        <v>0</v>
      </c>
      <c r="I186" s="11">
        <f>C186-H186</f>
        <v>0</v>
      </c>
    </row>
    <row r="187" spans="1:9">
      <c r="A187">
        <f>IF(C187&gt;0.01, 186, "")</f>
        <v>0</v>
      </c>
      <c r="B187" s="10">
        <f>IF(C187&gt;0.01,EDATE(B186,12/ZahlungenProJahr),"")</f>
        <v>0</v>
      </c>
      <c r="C187" s="11">
        <f>I186</f>
        <v>0</v>
      </c>
      <c r="D187" s="11">
        <f>IF(C187&gt;0.01, MIN(Rate, C187*(1+Jahreszins/ZahlungenProJahr)), 0)</f>
        <v>0</v>
      </c>
      <c r="E187" s="11">
        <f>IF(C187&gt;0.01, C187*Jahreszins/ZahlungenProJahr, 0)</f>
        <v>0</v>
      </c>
      <c r="F187" s="11">
        <f>IF(C187&gt;0.01, D187-E187, 0)</f>
        <v>0</v>
      </c>
      <c r="G187" s="12"/>
      <c r="H187" s="11">
        <f>SUM(F187,G187)</f>
        <v>0</v>
      </c>
      <c r="I187" s="11">
        <f>C187-H187</f>
        <v>0</v>
      </c>
    </row>
    <row r="188" spans="1:9">
      <c r="A188">
        <f>IF(C188&gt;0.01, 187, "")</f>
        <v>0</v>
      </c>
      <c r="B188" s="10">
        <f>IF(C188&gt;0.01,EDATE(B187,12/ZahlungenProJahr),"")</f>
        <v>0</v>
      </c>
      <c r="C188" s="11">
        <f>I187</f>
        <v>0</v>
      </c>
      <c r="D188" s="11">
        <f>IF(C188&gt;0.01, MIN(Rate, C188*(1+Jahreszins/ZahlungenProJahr)), 0)</f>
        <v>0</v>
      </c>
      <c r="E188" s="11">
        <f>IF(C188&gt;0.01, C188*Jahreszins/ZahlungenProJahr, 0)</f>
        <v>0</v>
      </c>
      <c r="F188" s="11">
        <f>IF(C188&gt;0.01, D188-E188, 0)</f>
        <v>0</v>
      </c>
      <c r="G188" s="12"/>
      <c r="H188" s="11">
        <f>SUM(F188,G188)</f>
        <v>0</v>
      </c>
      <c r="I188" s="11">
        <f>C188-H188</f>
        <v>0</v>
      </c>
    </row>
    <row r="189" spans="1:9">
      <c r="A189">
        <f>IF(C189&gt;0.01, 188, "")</f>
        <v>0</v>
      </c>
      <c r="B189" s="10">
        <f>IF(C189&gt;0.01,EDATE(B188,12/ZahlungenProJahr),"")</f>
        <v>0</v>
      </c>
      <c r="C189" s="11">
        <f>I188</f>
        <v>0</v>
      </c>
      <c r="D189" s="11">
        <f>IF(C189&gt;0.01, MIN(Rate, C189*(1+Jahreszins/ZahlungenProJahr)), 0)</f>
        <v>0</v>
      </c>
      <c r="E189" s="11">
        <f>IF(C189&gt;0.01, C189*Jahreszins/ZahlungenProJahr, 0)</f>
        <v>0</v>
      </c>
      <c r="F189" s="11">
        <f>IF(C189&gt;0.01, D189-E189, 0)</f>
        <v>0</v>
      </c>
      <c r="G189" s="12"/>
      <c r="H189" s="11">
        <f>SUM(F189,G189)</f>
        <v>0</v>
      </c>
      <c r="I189" s="11">
        <f>C189-H189</f>
        <v>0</v>
      </c>
    </row>
    <row r="190" spans="1:9">
      <c r="A190">
        <f>IF(C190&gt;0.01, 189, "")</f>
        <v>0</v>
      </c>
      <c r="B190" s="10">
        <f>IF(C190&gt;0.01,EDATE(B189,12/ZahlungenProJahr),"")</f>
        <v>0</v>
      </c>
      <c r="C190" s="11">
        <f>I189</f>
        <v>0</v>
      </c>
      <c r="D190" s="11">
        <f>IF(C190&gt;0.01, MIN(Rate, C190*(1+Jahreszins/ZahlungenProJahr)), 0)</f>
        <v>0</v>
      </c>
      <c r="E190" s="11">
        <f>IF(C190&gt;0.01, C190*Jahreszins/ZahlungenProJahr, 0)</f>
        <v>0</v>
      </c>
      <c r="F190" s="11">
        <f>IF(C190&gt;0.01, D190-E190, 0)</f>
        <v>0</v>
      </c>
      <c r="G190" s="12"/>
      <c r="H190" s="11">
        <f>SUM(F190,G190)</f>
        <v>0</v>
      </c>
      <c r="I190" s="11">
        <f>C190-H190</f>
        <v>0</v>
      </c>
    </row>
    <row r="191" spans="1:9">
      <c r="A191">
        <f>IF(C191&gt;0.01, 190, "")</f>
        <v>0</v>
      </c>
      <c r="B191" s="10">
        <f>IF(C191&gt;0.01,EDATE(B190,12/ZahlungenProJahr),"")</f>
        <v>0</v>
      </c>
      <c r="C191" s="11">
        <f>I190</f>
        <v>0</v>
      </c>
      <c r="D191" s="11">
        <f>IF(C191&gt;0.01, MIN(Rate, C191*(1+Jahreszins/ZahlungenProJahr)), 0)</f>
        <v>0</v>
      </c>
      <c r="E191" s="11">
        <f>IF(C191&gt;0.01, C191*Jahreszins/ZahlungenProJahr, 0)</f>
        <v>0</v>
      </c>
      <c r="F191" s="11">
        <f>IF(C191&gt;0.01, D191-E191, 0)</f>
        <v>0</v>
      </c>
      <c r="G191" s="12"/>
      <c r="H191" s="11">
        <f>SUM(F191,G191)</f>
        <v>0</v>
      </c>
      <c r="I191" s="11">
        <f>C191-H191</f>
        <v>0</v>
      </c>
    </row>
    <row r="192" spans="1:9">
      <c r="A192">
        <f>IF(C192&gt;0.01, 191, "")</f>
        <v>0</v>
      </c>
      <c r="B192" s="10">
        <f>IF(C192&gt;0.01,EDATE(B191,12/ZahlungenProJahr),"")</f>
        <v>0</v>
      </c>
      <c r="C192" s="11">
        <f>I191</f>
        <v>0</v>
      </c>
      <c r="D192" s="11">
        <f>IF(C192&gt;0.01, MIN(Rate, C192*(1+Jahreszins/ZahlungenProJahr)), 0)</f>
        <v>0</v>
      </c>
      <c r="E192" s="11">
        <f>IF(C192&gt;0.01, C192*Jahreszins/ZahlungenProJahr, 0)</f>
        <v>0</v>
      </c>
      <c r="F192" s="11">
        <f>IF(C192&gt;0.01, D192-E192, 0)</f>
        <v>0</v>
      </c>
      <c r="G192" s="12"/>
      <c r="H192" s="11">
        <f>SUM(F192,G192)</f>
        <v>0</v>
      </c>
      <c r="I192" s="11">
        <f>C192-H192</f>
        <v>0</v>
      </c>
    </row>
    <row r="193" spans="1:9">
      <c r="A193">
        <f>IF(C193&gt;0.01, 192, "")</f>
        <v>0</v>
      </c>
      <c r="B193" s="10">
        <f>IF(C193&gt;0.01,EDATE(B192,12/ZahlungenProJahr),"")</f>
        <v>0</v>
      </c>
      <c r="C193" s="11">
        <f>I192</f>
        <v>0</v>
      </c>
      <c r="D193" s="11">
        <f>IF(C193&gt;0.01, MIN(Rate, C193*(1+Jahreszins/ZahlungenProJahr)), 0)</f>
        <v>0</v>
      </c>
      <c r="E193" s="11">
        <f>IF(C193&gt;0.01, C193*Jahreszins/ZahlungenProJahr, 0)</f>
        <v>0</v>
      </c>
      <c r="F193" s="11">
        <f>IF(C193&gt;0.01, D193-E193, 0)</f>
        <v>0</v>
      </c>
      <c r="G193" s="12"/>
      <c r="H193" s="11">
        <f>SUM(F193,G193)</f>
        <v>0</v>
      </c>
      <c r="I193" s="11">
        <f>C193-H193</f>
        <v>0</v>
      </c>
    </row>
    <row r="194" spans="1:9">
      <c r="A194">
        <f>IF(C194&gt;0.01, 193, "")</f>
        <v>0</v>
      </c>
      <c r="B194" s="10">
        <f>IF(C194&gt;0.01,EDATE(B193,12/ZahlungenProJahr),"")</f>
        <v>0</v>
      </c>
      <c r="C194" s="11">
        <f>I193</f>
        <v>0</v>
      </c>
      <c r="D194" s="11">
        <f>IF(C194&gt;0.01, MIN(Rate, C194*(1+Jahreszins/ZahlungenProJahr)), 0)</f>
        <v>0</v>
      </c>
      <c r="E194" s="11">
        <f>IF(C194&gt;0.01, C194*Jahreszins/ZahlungenProJahr, 0)</f>
        <v>0</v>
      </c>
      <c r="F194" s="11">
        <f>IF(C194&gt;0.01, D194-E194, 0)</f>
        <v>0</v>
      </c>
      <c r="G194" s="12"/>
      <c r="H194" s="11">
        <f>SUM(F194,G194)</f>
        <v>0</v>
      </c>
      <c r="I194" s="11">
        <f>C194-H194</f>
        <v>0</v>
      </c>
    </row>
    <row r="195" spans="1:9">
      <c r="A195">
        <f>IF(C195&gt;0.01, 194, "")</f>
        <v>0</v>
      </c>
      <c r="B195" s="10">
        <f>IF(C195&gt;0.01,EDATE(B194,12/ZahlungenProJahr),"")</f>
        <v>0</v>
      </c>
      <c r="C195" s="11">
        <f>I194</f>
        <v>0</v>
      </c>
      <c r="D195" s="11">
        <f>IF(C195&gt;0.01, MIN(Rate, C195*(1+Jahreszins/ZahlungenProJahr)), 0)</f>
        <v>0</v>
      </c>
      <c r="E195" s="11">
        <f>IF(C195&gt;0.01, C195*Jahreszins/ZahlungenProJahr, 0)</f>
        <v>0</v>
      </c>
      <c r="F195" s="11">
        <f>IF(C195&gt;0.01, D195-E195, 0)</f>
        <v>0</v>
      </c>
      <c r="G195" s="12"/>
      <c r="H195" s="11">
        <f>SUM(F195,G195)</f>
        <v>0</v>
      </c>
      <c r="I195" s="11">
        <f>C195-H195</f>
        <v>0</v>
      </c>
    </row>
    <row r="196" spans="1:9">
      <c r="A196">
        <f>IF(C196&gt;0.01, 195, "")</f>
        <v>0</v>
      </c>
      <c r="B196" s="10">
        <f>IF(C196&gt;0.01,EDATE(B195,12/ZahlungenProJahr),"")</f>
        <v>0</v>
      </c>
      <c r="C196" s="11">
        <f>I195</f>
        <v>0</v>
      </c>
      <c r="D196" s="11">
        <f>IF(C196&gt;0.01, MIN(Rate, C196*(1+Jahreszins/ZahlungenProJahr)), 0)</f>
        <v>0</v>
      </c>
      <c r="E196" s="11">
        <f>IF(C196&gt;0.01, C196*Jahreszins/ZahlungenProJahr, 0)</f>
        <v>0</v>
      </c>
      <c r="F196" s="11">
        <f>IF(C196&gt;0.01, D196-E196, 0)</f>
        <v>0</v>
      </c>
      <c r="G196" s="12"/>
      <c r="H196" s="11">
        <f>SUM(F196,G196)</f>
        <v>0</v>
      </c>
      <c r="I196" s="11">
        <f>C196-H196</f>
        <v>0</v>
      </c>
    </row>
    <row r="197" spans="1:9">
      <c r="A197">
        <f>IF(C197&gt;0.01, 196, "")</f>
        <v>0</v>
      </c>
      <c r="B197" s="10">
        <f>IF(C197&gt;0.01,EDATE(B196,12/ZahlungenProJahr),"")</f>
        <v>0</v>
      </c>
      <c r="C197" s="11">
        <f>I196</f>
        <v>0</v>
      </c>
      <c r="D197" s="11">
        <f>IF(C197&gt;0.01, MIN(Rate, C197*(1+Jahreszins/ZahlungenProJahr)), 0)</f>
        <v>0</v>
      </c>
      <c r="E197" s="11">
        <f>IF(C197&gt;0.01, C197*Jahreszins/ZahlungenProJahr, 0)</f>
        <v>0</v>
      </c>
      <c r="F197" s="11">
        <f>IF(C197&gt;0.01, D197-E197, 0)</f>
        <v>0</v>
      </c>
      <c r="G197" s="12"/>
      <c r="H197" s="11">
        <f>SUM(F197,G197)</f>
        <v>0</v>
      </c>
      <c r="I197" s="11">
        <f>C197-H197</f>
        <v>0</v>
      </c>
    </row>
    <row r="198" spans="1:9">
      <c r="A198">
        <f>IF(C198&gt;0.01, 197, "")</f>
        <v>0</v>
      </c>
      <c r="B198" s="10">
        <f>IF(C198&gt;0.01,EDATE(B197,12/ZahlungenProJahr),"")</f>
        <v>0</v>
      </c>
      <c r="C198" s="11">
        <f>I197</f>
        <v>0</v>
      </c>
      <c r="D198" s="11">
        <f>IF(C198&gt;0.01, MIN(Rate, C198*(1+Jahreszins/ZahlungenProJahr)), 0)</f>
        <v>0</v>
      </c>
      <c r="E198" s="11">
        <f>IF(C198&gt;0.01, C198*Jahreszins/ZahlungenProJahr, 0)</f>
        <v>0</v>
      </c>
      <c r="F198" s="11">
        <f>IF(C198&gt;0.01, D198-E198, 0)</f>
        <v>0</v>
      </c>
      <c r="G198" s="12"/>
      <c r="H198" s="11">
        <f>SUM(F198,G198)</f>
        <v>0</v>
      </c>
      <c r="I198" s="11">
        <f>C198-H198</f>
        <v>0</v>
      </c>
    </row>
    <row r="199" spans="1:9">
      <c r="A199">
        <f>IF(C199&gt;0.01, 198, "")</f>
        <v>0</v>
      </c>
      <c r="B199" s="10">
        <f>IF(C199&gt;0.01,EDATE(B198,12/ZahlungenProJahr),"")</f>
        <v>0</v>
      </c>
      <c r="C199" s="11">
        <f>I198</f>
        <v>0</v>
      </c>
      <c r="D199" s="11">
        <f>IF(C199&gt;0.01, MIN(Rate, C199*(1+Jahreszins/ZahlungenProJahr)), 0)</f>
        <v>0</v>
      </c>
      <c r="E199" s="11">
        <f>IF(C199&gt;0.01, C199*Jahreszins/ZahlungenProJahr, 0)</f>
        <v>0</v>
      </c>
      <c r="F199" s="11">
        <f>IF(C199&gt;0.01, D199-E199, 0)</f>
        <v>0</v>
      </c>
      <c r="G199" s="12"/>
      <c r="H199" s="11">
        <f>SUM(F199,G199)</f>
        <v>0</v>
      </c>
      <c r="I199" s="11">
        <f>C199-H199</f>
        <v>0</v>
      </c>
    </row>
    <row r="200" spans="1:9">
      <c r="A200">
        <f>IF(C200&gt;0.01, 199, "")</f>
        <v>0</v>
      </c>
      <c r="B200" s="10">
        <f>IF(C200&gt;0.01,EDATE(B199,12/ZahlungenProJahr),"")</f>
        <v>0</v>
      </c>
      <c r="C200" s="11">
        <f>I199</f>
        <v>0</v>
      </c>
      <c r="D200" s="11">
        <f>IF(C200&gt;0.01, MIN(Rate, C200*(1+Jahreszins/ZahlungenProJahr)), 0)</f>
        <v>0</v>
      </c>
      <c r="E200" s="11">
        <f>IF(C200&gt;0.01, C200*Jahreszins/ZahlungenProJahr, 0)</f>
        <v>0</v>
      </c>
      <c r="F200" s="11">
        <f>IF(C200&gt;0.01, D200-E200, 0)</f>
        <v>0</v>
      </c>
      <c r="G200" s="12"/>
      <c r="H200" s="11">
        <f>SUM(F200,G200)</f>
        <v>0</v>
      </c>
      <c r="I200" s="11">
        <f>C200-H200</f>
        <v>0</v>
      </c>
    </row>
    <row r="201" spans="1:9">
      <c r="A201">
        <f>IF(C201&gt;0.01, 200, "")</f>
        <v>0</v>
      </c>
      <c r="B201" s="10">
        <f>IF(C201&gt;0.01,EDATE(B200,12/ZahlungenProJahr),"")</f>
        <v>0</v>
      </c>
      <c r="C201" s="11">
        <f>I200</f>
        <v>0</v>
      </c>
      <c r="D201" s="11">
        <f>IF(C201&gt;0.01, MIN(Rate, C201*(1+Jahreszins/ZahlungenProJahr)), 0)</f>
        <v>0</v>
      </c>
      <c r="E201" s="11">
        <f>IF(C201&gt;0.01, C201*Jahreszins/ZahlungenProJahr, 0)</f>
        <v>0</v>
      </c>
      <c r="F201" s="11">
        <f>IF(C201&gt;0.01, D201-E201, 0)</f>
        <v>0</v>
      </c>
      <c r="G201" s="12"/>
      <c r="H201" s="11">
        <f>SUM(F201,G201)</f>
        <v>0</v>
      </c>
      <c r="I201" s="11">
        <f>C201-H201</f>
        <v>0</v>
      </c>
    </row>
    <row r="202" spans="1:9">
      <c r="A202">
        <f>IF(C202&gt;0.01, 201, "")</f>
        <v>0</v>
      </c>
      <c r="B202" s="10">
        <f>IF(C202&gt;0.01,EDATE(B201,12/ZahlungenProJahr),"")</f>
        <v>0</v>
      </c>
      <c r="C202" s="11">
        <f>I201</f>
        <v>0</v>
      </c>
      <c r="D202" s="11">
        <f>IF(C202&gt;0.01, MIN(Rate, C202*(1+Jahreszins/ZahlungenProJahr)), 0)</f>
        <v>0</v>
      </c>
      <c r="E202" s="11">
        <f>IF(C202&gt;0.01, C202*Jahreszins/ZahlungenProJahr, 0)</f>
        <v>0</v>
      </c>
      <c r="F202" s="11">
        <f>IF(C202&gt;0.01, D202-E202, 0)</f>
        <v>0</v>
      </c>
      <c r="G202" s="12"/>
      <c r="H202" s="11">
        <f>SUM(F202,G202)</f>
        <v>0</v>
      </c>
      <c r="I202" s="11">
        <f>C202-H202</f>
        <v>0</v>
      </c>
    </row>
    <row r="203" spans="1:9">
      <c r="A203">
        <f>IF(C203&gt;0.01, 202, "")</f>
        <v>0</v>
      </c>
      <c r="B203" s="10">
        <f>IF(C203&gt;0.01,EDATE(B202,12/ZahlungenProJahr),"")</f>
        <v>0</v>
      </c>
      <c r="C203" s="11">
        <f>I202</f>
        <v>0</v>
      </c>
      <c r="D203" s="11">
        <f>IF(C203&gt;0.01, MIN(Rate, C203*(1+Jahreszins/ZahlungenProJahr)), 0)</f>
        <v>0</v>
      </c>
      <c r="E203" s="11">
        <f>IF(C203&gt;0.01, C203*Jahreszins/ZahlungenProJahr, 0)</f>
        <v>0</v>
      </c>
      <c r="F203" s="11">
        <f>IF(C203&gt;0.01, D203-E203, 0)</f>
        <v>0</v>
      </c>
      <c r="G203" s="12"/>
      <c r="H203" s="11">
        <f>SUM(F203,G203)</f>
        <v>0</v>
      </c>
      <c r="I203" s="11">
        <f>C203-H203</f>
        <v>0</v>
      </c>
    </row>
    <row r="204" spans="1:9">
      <c r="A204">
        <f>IF(C204&gt;0.01, 203, "")</f>
        <v>0</v>
      </c>
      <c r="B204" s="10">
        <f>IF(C204&gt;0.01,EDATE(B203,12/ZahlungenProJahr),"")</f>
        <v>0</v>
      </c>
      <c r="C204" s="11">
        <f>I203</f>
        <v>0</v>
      </c>
      <c r="D204" s="11">
        <f>IF(C204&gt;0.01, MIN(Rate, C204*(1+Jahreszins/ZahlungenProJahr)), 0)</f>
        <v>0</v>
      </c>
      <c r="E204" s="11">
        <f>IF(C204&gt;0.01, C204*Jahreszins/ZahlungenProJahr, 0)</f>
        <v>0</v>
      </c>
      <c r="F204" s="11">
        <f>IF(C204&gt;0.01, D204-E204, 0)</f>
        <v>0</v>
      </c>
      <c r="G204" s="12"/>
      <c r="H204" s="11">
        <f>SUM(F204,G204)</f>
        <v>0</v>
      </c>
      <c r="I204" s="11">
        <f>C204-H204</f>
        <v>0</v>
      </c>
    </row>
    <row r="205" spans="1:9">
      <c r="A205">
        <f>IF(C205&gt;0.01, 204, "")</f>
        <v>0</v>
      </c>
      <c r="B205" s="10">
        <f>IF(C205&gt;0.01,EDATE(B204,12/ZahlungenProJahr),"")</f>
        <v>0</v>
      </c>
      <c r="C205" s="11">
        <f>I204</f>
        <v>0</v>
      </c>
      <c r="D205" s="11">
        <f>IF(C205&gt;0.01, MIN(Rate, C205*(1+Jahreszins/ZahlungenProJahr)), 0)</f>
        <v>0</v>
      </c>
      <c r="E205" s="11">
        <f>IF(C205&gt;0.01, C205*Jahreszins/ZahlungenProJahr, 0)</f>
        <v>0</v>
      </c>
      <c r="F205" s="11">
        <f>IF(C205&gt;0.01, D205-E205, 0)</f>
        <v>0</v>
      </c>
      <c r="G205" s="12"/>
      <c r="H205" s="11">
        <f>SUM(F205,G205)</f>
        <v>0</v>
      </c>
      <c r="I205" s="11">
        <f>C205-H205</f>
        <v>0</v>
      </c>
    </row>
    <row r="206" spans="1:9">
      <c r="A206">
        <f>IF(C206&gt;0.01, 205, "")</f>
        <v>0</v>
      </c>
      <c r="B206" s="10">
        <f>IF(C206&gt;0.01,EDATE(B205,12/ZahlungenProJahr),"")</f>
        <v>0</v>
      </c>
      <c r="C206" s="11">
        <f>I205</f>
        <v>0</v>
      </c>
      <c r="D206" s="11">
        <f>IF(C206&gt;0.01, MIN(Rate, C206*(1+Jahreszins/ZahlungenProJahr)), 0)</f>
        <v>0</v>
      </c>
      <c r="E206" s="11">
        <f>IF(C206&gt;0.01, C206*Jahreszins/ZahlungenProJahr, 0)</f>
        <v>0</v>
      </c>
      <c r="F206" s="11">
        <f>IF(C206&gt;0.01, D206-E206, 0)</f>
        <v>0</v>
      </c>
      <c r="G206" s="12"/>
      <c r="H206" s="11">
        <f>SUM(F206,G206)</f>
        <v>0</v>
      </c>
      <c r="I206" s="11">
        <f>C206-H206</f>
        <v>0</v>
      </c>
    </row>
    <row r="207" spans="1:9">
      <c r="A207">
        <f>IF(C207&gt;0.01, 206, "")</f>
        <v>0</v>
      </c>
      <c r="B207" s="10">
        <f>IF(C207&gt;0.01,EDATE(B206,12/ZahlungenProJahr),"")</f>
        <v>0</v>
      </c>
      <c r="C207" s="11">
        <f>I206</f>
        <v>0</v>
      </c>
      <c r="D207" s="11">
        <f>IF(C207&gt;0.01, MIN(Rate, C207*(1+Jahreszins/ZahlungenProJahr)), 0)</f>
        <v>0</v>
      </c>
      <c r="E207" s="11">
        <f>IF(C207&gt;0.01, C207*Jahreszins/ZahlungenProJahr, 0)</f>
        <v>0</v>
      </c>
      <c r="F207" s="11">
        <f>IF(C207&gt;0.01, D207-E207, 0)</f>
        <v>0</v>
      </c>
      <c r="G207" s="12"/>
      <c r="H207" s="11">
        <f>SUM(F207,G207)</f>
        <v>0</v>
      </c>
      <c r="I207" s="11">
        <f>C207-H207</f>
        <v>0</v>
      </c>
    </row>
    <row r="208" spans="1:9">
      <c r="A208">
        <f>IF(C208&gt;0.01, 207, "")</f>
        <v>0</v>
      </c>
      <c r="B208" s="10">
        <f>IF(C208&gt;0.01,EDATE(B207,12/ZahlungenProJahr),"")</f>
        <v>0</v>
      </c>
      <c r="C208" s="11">
        <f>I207</f>
        <v>0</v>
      </c>
      <c r="D208" s="11">
        <f>IF(C208&gt;0.01, MIN(Rate, C208*(1+Jahreszins/ZahlungenProJahr)), 0)</f>
        <v>0</v>
      </c>
      <c r="E208" s="11">
        <f>IF(C208&gt;0.01, C208*Jahreszins/ZahlungenProJahr, 0)</f>
        <v>0</v>
      </c>
      <c r="F208" s="11">
        <f>IF(C208&gt;0.01, D208-E208, 0)</f>
        <v>0</v>
      </c>
      <c r="G208" s="12"/>
      <c r="H208" s="11">
        <f>SUM(F208,G208)</f>
        <v>0</v>
      </c>
      <c r="I208" s="11">
        <f>C208-H208</f>
        <v>0</v>
      </c>
    </row>
    <row r="209" spans="1:9">
      <c r="A209">
        <f>IF(C209&gt;0.01, 208, "")</f>
        <v>0</v>
      </c>
      <c r="B209" s="10">
        <f>IF(C209&gt;0.01,EDATE(B208,12/ZahlungenProJahr),"")</f>
        <v>0</v>
      </c>
      <c r="C209" s="11">
        <f>I208</f>
        <v>0</v>
      </c>
      <c r="D209" s="11">
        <f>IF(C209&gt;0.01, MIN(Rate, C209*(1+Jahreszins/ZahlungenProJahr)), 0)</f>
        <v>0</v>
      </c>
      <c r="E209" s="11">
        <f>IF(C209&gt;0.01, C209*Jahreszins/ZahlungenProJahr, 0)</f>
        <v>0</v>
      </c>
      <c r="F209" s="11">
        <f>IF(C209&gt;0.01, D209-E209, 0)</f>
        <v>0</v>
      </c>
      <c r="G209" s="12"/>
      <c r="H209" s="11">
        <f>SUM(F209,G209)</f>
        <v>0</v>
      </c>
      <c r="I209" s="11">
        <f>C209-H209</f>
        <v>0</v>
      </c>
    </row>
    <row r="210" spans="1:9">
      <c r="A210">
        <f>IF(C210&gt;0.01, 209, "")</f>
        <v>0</v>
      </c>
      <c r="B210" s="10">
        <f>IF(C210&gt;0.01,EDATE(B209,12/ZahlungenProJahr),"")</f>
        <v>0</v>
      </c>
      <c r="C210" s="11">
        <f>I209</f>
        <v>0</v>
      </c>
      <c r="D210" s="11">
        <f>IF(C210&gt;0.01, MIN(Rate, C210*(1+Jahreszins/ZahlungenProJahr)), 0)</f>
        <v>0</v>
      </c>
      <c r="E210" s="11">
        <f>IF(C210&gt;0.01, C210*Jahreszins/ZahlungenProJahr, 0)</f>
        <v>0</v>
      </c>
      <c r="F210" s="11">
        <f>IF(C210&gt;0.01, D210-E210, 0)</f>
        <v>0</v>
      </c>
      <c r="G210" s="12"/>
      <c r="H210" s="11">
        <f>SUM(F210,G210)</f>
        <v>0</v>
      </c>
      <c r="I210" s="11">
        <f>C210-H210</f>
        <v>0</v>
      </c>
    </row>
    <row r="211" spans="1:9">
      <c r="A211">
        <f>IF(C211&gt;0.01, 210, "")</f>
        <v>0</v>
      </c>
      <c r="B211" s="10">
        <f>IF(C211&gt;0.01,EDATE(B210,12/ZahlungenProJahr),"")</f>
        <v>0</v>
      </c>
      <c r="C211" s="11">
        <f>I210</f>
        <v>0</v>
      </c>
      <c r="D211" s="11">
        <f>IF(C211&gt;0.01, MIN(Rate, C211*(1+Jahreszins/ZahlungenProJahr)), 0)</f>
        <v>0</v>
      </c>
      <c r="E211" s="11">
        <f>IF(C211&gt;0.01, C211*Jahreszins/ZahlungenProJahr, 0)</f>
        <v>0</v>
      </c>
      <c r="F211" s="11">
        <f>IF(C211&gt;0.01, D211-E211, 0)</f>
        <v>0</v>
      </c>
      <c r="G211" s="12"/>
      <c r="H211" s="11">
        <f>SUM(F211,G211)</f>
        <v>0</v>
      </c>
      <c r="I211" s="11">
        <f>C211-H211</f>
        <v>0</v>
      </c>
    </row>
    <row r="212" spans="1:9">
      <c r="A212">
        <f>IF(C212&gt;0.01, 211, "")</f>
        <v>0</v>
      </c>
      <c r="B212" s="10">
        <f>IF(C212&gt;0.01,EDATE(B211,12/ZahlungenProJahr),"")</f>
        <v>0</v>
      </c>
      <c r="C212" s="11">
        <f>I211</f>
        <v>0</v>
      </c>
      <c r="D212" s="11">
        <f>IF(C212&gt;0.01, MIN(Rate, C212*(1+Jahreszins/ZahlungenProJahr)), 0)</f>
        <v>0</v>
      </c>
      <c r="E212" s="11">
        <f>IF(C212&gt;0.01, C212*Jahreszins/ZahlungenProJahr, 0)</f>
        <v>0</v>
      </c>
      <c r="F212" s="11">
        <f>IF(C212&gt;0.01, D212-E212, 0)</f>
        <v>0</v>
      </c>
      <c r="G212" s="12"/>
      <c r="H212" s="11">
        <f>SUM(F212,G212)</f>
        <v>0</v>
      </c>
      <c r="I212" s="11">
        <f>C212-H212</f>
        <v>0</v>
      </c>
    </row>
    <row r="213" spans="1:9">
      <c r="A213">
        <f>IF(C213&gt;0.01, 212, "")</f>
        <v>0</v>
      </c>
      <c r="B213" s="10">
        <f>IF(C213&gt;0.01,EDATE(B212,12/ZahlungenProJahr),"")</f>
        <v>0</v>
      </c>
      <c r="C213" s="11">
        <f>I212</f>
        <v>0</v>
      </c>
      <c r="D213" s="11">
        <f>IF(C213&gt;0.01, MIN(Rate, C213*(1+Jahreszins/ZahlungenProJahr)), 0)</f>
        <v>0</v>
      </c>
      <c r="E213" s="11">
        <f>IF(C213&gt;0.01, C213*Jahreszins/ZahlungenProJahr, 0)</f>
        <v>0</v>
      </c>
      <c r="F213" s="11">
        <f>IF(C213&gt;0.01, D213-E213, 0)</f>
        <v>0</v>
      </c>
      <c r="G213" s="12"/>
      <c r="H213" s="11">
        <f>SUM(F213,G213)</f>
        <v>0</v>
      </c>
      <c r="I213" s="11">
        <f>C213-H213</f>
        <v>0</v>
      </c>
    </row>
    <row r="214" spans="1:9">
      <c r="A214">
        <f>IF(C214&gt;0.01, 213, "")</f>
        <v>0</v>
      </c>
      <c r="B214" s="10">
        <f>IF(C214&gt;0.01,EDATE(B213,12/ZahlungenProJahr),"")</f>
        <v>0</v>
      </c>
      <c r="C214" s="11">
        <f>I213</f>
        <v>0</v>
      </c>
      <c r="D214" s="11">
        <f>IF(C214&gt;0.01, MIN(Rate, C214*(1+Jahreszins/ZahlungenProJahr)), 0)</f>
        <v>0</v>
      </c>
      <c r="E214" s="11">
        <f>IF(C214&gt;0.01, C214*Jahreszins/ZahlungenProJahr, 0)</f>
        <v>0</v>
      </c>
      <c r="F214" s="11">
        <f>IF(C214&gt;0.01, D214-E214, 0)</f>
        <v>0</v>
      </c>
      <c r="G214" s="12"/>
      <c r="H214" s="11">
        <f>SUM(F214,G214)</f>
        <v>0</v>
      </c>
      <c r="I214" s="11">
        <f>C214-H214</f>
        <v>0</v>
      </c>
    </row>
    <row r="215" spans="1:9">
      <c r="A215">
        <f>IF(C215&gt;0.01, 214, "")</f>
        <v>0</v>
      </c>
      <c r="B215" s="10">
        <f>IF(C215&gt;0.01,EDATE(B214,12/ZahlungenProJahr),"")</f>
        <v>0</v>
      </c>
      <c r="C215" s="11">
        <f>I214</f>
        <v>0</v>
      </c>
      <c r="D215" s="11">
        <f>IF(C215&gt;0.01, MIN(Rate, C215*(1+Jahreszins/ZahlungenProJahr)), 0)</f>
        <v>0</v>
      </c>
      <c r="E215" s="11">
        <f>IF(C215&gt;0.01, C215*Jahreszins/ZahlungenProJahr, 0)</f>
        <v>0</v>
      </c>
      <c r="F215" s="11">
        <f>IF(C215&gt;0.01, D215-E215, 0)</f>
        <v>0</v>
      </c>
      <c r="G215" s="12"/>
      <c r="H215" s="11">
        <f>SUM(F215,G215)</f>
        <v>0</v>
      </c>
      <c r="I215" s="11">
        <f>C215-H215</f>
        <v>0</v>
      </c>
    </row>
    <row r="216" spans="1:9">
      <c r="A216">
        <f>IF(C216&gt;0.01, 215, "")</f>
        <v>0</v>
      </c>
      <c r="B216" s="10">
        <f>IF(C216&gt;0.01,EDATE(B215,12/ZahlungenProJahr),"")</f>
        <v>0</v>
      </c>
      <c r="C216" s="11">
        <f>I215</f>
        <v>0</v>
      </c>
      <c r="D216" s="11">
        <f>IF(C216&gt;0.01, MIN(Rate, C216*(1+Jahreszins/ZahlungenProJahr)), 0)</f>
        <v>0</v>
      </c>
      <c r="E216" s="11">
        <f>IF(C216&gt;0.01, C216*Jahreszins/ZahlungenProJahr, 0)</f>
        <v>0</v>
      </c>
      <c r="F216" s="11">
        <f>IF(C216&gt;0.01, D216-E216, 0)</f>
        <v>0</v>
      </c>
      <c r="G216" s="12"/>
      <c r="H216" s="11">
        <f>SUM(F216,G216)</f>
        <v>0</v>
      </c>
      <c r="I216" s="11">
        <f>C216-H216</f>
        <v>0</v>
      </c>
    </row>
    <row r="217" spans="1:9">
      <c r="A217">
        <f>IF(C217&gt;0.01, 216, "")</f>
        <v>0</v>
      </c>
      <c r="B217" s="10">
        <f>IF(C217&gt;0.01,EDATE(B216,12/ZahlungenProJahr),"")</f>
        <v>0</v>
      </c>
      <c r="C217" s="11">
        <f>I216</f>
        <v>0</v>
      </c>
      <c r="D217" s="11">
        <f>IF(C217&gt;0.01, MIN(Rate, C217*(1+Jahreszins/ZahlungenProJahr)), 0)</f>
        <v>0</v>
      </c>
      <c r="E217" s="11">
        <f>IF(C217&gt;0.01, C217*Jahreszins/ZahlungenProJahr, 0)</f>
        <v>0</v>
      </c>
      <c r="F217" s="11">
        <f>IF(C217&gt;0.01, D217-E217, 0)</f>
        <v>0</v>
      </c>
      <c r="G217" s="12"/>
      <c r="H217" s="11">
        <f>SUM(F217,G217)</f>
        <v>0</v>
      </c>
      <c r="I217" s="11">
        <f>C217-H217</f>
        <v>0</v>
      </c>
    </row>
    <row r="218" spans="1:9">
      <c r="A218">
        <f>IF(C218&gt;0.01, 217, "")</f>
        <v>0</v>
      </c>
      <c r="B218" s="10">
        <f>IF(C218&gt;0.01,EDATE(B217,12/ZahlungenProJahr),"")</f>
        <v>0</v>
      </c>
      <c r="C218" s="11">
        <f>I217</f>
        <v>0</v>
      </c>
      <c r="D218" s="11">
        <f>IF(C218&gt;0.01, MIN(Rate, C218*(1+Jahreszins/ZahlungenProJahr)), 0)</f>
        <v>0</v>
      </c>
      <c r="E218" s="11">
        <f>IF(C218&gt;0.01, C218*Jahreszins/ZahlungenProJahr, 0)</f>
        <v>0</v>
      </c>
      <c r="F218" s="11">
        <f>IF(C218&gt;0.01, D218-E218, 0)</f>
        <v>0</v>
      </c>
      <c r="G218" s="12"/>
      <c r="H218" s="11">
        <f>SUM(F218,G218)</f>
        <v>0</v>
      </c>
      <c r="I218" s="11">
        <f>C218-H218</f>
        <v>0</v>
      </c>
    </row>
    <row r="219" spans="1:9">
      <c r="A219">
        <f>IF(C219&gt;0.01, 218, "")</f>
        <v>0</v>
      </c>
      <c r="B219" s="10">
        <f>IF(C219&gt;0.01,EDATE(B218,12/ZahlungenProJahr),"")</f>
        <v>0</v>
      </c>
      <c r="C219" s="11">
        <f>I218</f>
        <v>0</v>
      </c>
      <c r="D219" s="11">
        <f>IF(C219&gt;0.01, MIN(Rate, C219*(1+Jahreszins/ZahlungenProJahr)), 0)</f>
        <v>0</v>
      </c>
      <c r="E219" s="11">
        <f>IF(C219&gt;0.01, C219*Jahreszins/ZahlungenProJahr, 0)</f>
        <v>0</v>
      </c>
      <c r="F219" s="11">
        <f>IF(C219&gt;0.01, D219-E219, 0)</f>
        <v>0</v>
      </c>
      <c r="G219" s="12"/>
      <c r="H219" s="11">
        <f>SUM(F219,G219)</f>
        <v>0</v>
      </c>
      <c r="I219" s="11">
        <f>C219-H219</f>
        <v>0</v>
      </c>
    </row>
    <row r="220" spans="1:9">
      <c r="A220">
        <f>IF(C220&gt;0.01, 219, "")</f>
        <v>0</v>
      </c>
      <c r="B220" s="10">
        <f>IF(C220&gt;0.01,EDATE(B219,12/ZahlungenProJahr),"")</f>
        <v>0</v>
      </c>
      <c r="C220" s="11">
        <f>I219</f>
        <v>0</v>
      </c>
      <c r="D220" s="11">
        <f>IF(C220&gt;0.01, MIN(Rate, C220*(1+Jahreszins/ZahlungenProJahr)), 0)</f>
        <v>0</v>
      </c>
      <c r="E220" s="11">
        <f>IF(C220&gt;0.01, C220*Jahreszins/ZahlungenProJahr, 0)</f>
        <v>0</v>
      </c>
      <c r="F220" s="11">
        <f>IF(C220&gt;0.01, D220-E220, 0)</f>
        <v>0</v>
      </c>
      <c r="G220" s="12"/>
      <c r="H220" s="11">
        <f>SUM(F220,G220)</f>
        <v>0</v>
      </c>
      <c r="I220" s="11">
        <f>C220-H220</f>
        <v>0</v>
      </c>
    </row>
    <row r="221" spans="1:9">
      <c r="A221">
        <f>IF(C221&gt;0.01, 220, "")</f>
        <v>0</v>
      </c>
      <c r="B221" s="10">
        <f>IF(C221&gt;0.01,EDATE(B220,12/ZahlungenProJahr),"")</f>
        <v>0</v>
      </c>
      <c r="C221" s="11">
        <f>I220</f>
        <v>0</v>
      </c>
      <c r="D221" s="11">
        <f>IF(C221&gt;0.01, MIN(Rate, C221*(1+Jahreszins/ZahlungenProJahr)), 0)</f>
        <v>0</v>
      </c>
      <c r="E221" s="11">
        <f>IF(C221&gt;0.01, C221*Jahreszins/ZahlungenProJahr, 0)</f>
        <v>0</v>
      </c>
      <c r="F221" s="11">
        <f>IF(C221&gt;0.01, D221-E221, 0)</f>
        <v>0</v>
      </c>
      <c r="G221" s="12"/>
      <c r="H221" s="11">
        <f>SUM(F221,G221)</f>
        <v>0</v>
      </c>
      <c r="I221" s="11">
        <f>C221-H221</f>
        <v>0</v>
      </c>
    </row>
    <row r="222" spans="1:9">
      <c r="A222">
        <f>IF(C222&gt;0.01, 221, "")</f>
        <v>0</v>
      </c>
      <c r="B222" s="10">
        <f>IF(C222&gt;0.01,EDATE(B221,12/ZahlungenProJahr),"")</f>
        <v>0</v>
      </c>
      <c r="C222" s="11">
        <f>I221</f>
        <v>0</v>
      </c>
      <c r="D222" s="11">
        <f>IF(C222&gt;0.01, MIN(Rate, C222*(1+Jahreszins/ZahlungenProJahr)), 0)</f>
        <v>0</v>
      </c>
      <c r="E222" s="11">
        <f>IF(C222&gt;0.01, C222*Jahreszins/ZahlungenProJahr, 0)</f>
        <v>0</v>
      </c>
      <c r="F222" s="11">
        <f>IF(C222&gt;0.01, D222-E222, 0)</f>
        <v>0</v>
      </c>
      <c r="G222" s="12"/>
      <c r="H222" s="11">
        <f>SUM(F222,G222)</f>
        <v>0</v>
      </c>
      <c r="I222" s="11">
        <f>C222-H222</f>
        <v>0</v>
      </c>
    </row>
    <row r="223" spans="1:9">
      <c r="A223">
        <f>IF(C223&gt;0.01, 222, "")</f>
        <v>0</v>
      </c>
      <c r="B223" s="10">
        <f>IF(C223&gt;0.01,EDATE(B222,12/ZahlungenProJahr),"")</f>
        <v>0</v>
      </c>
      <c r="C223" s="11">
        <f>I222</f>
        <v>0</v>
      </c>
      <c r="D223" s="11">
        <f>IF(C223&gt;0.01, MIN(Rate, C223*(1+Jahreszins/ZahlungenProJahr)), 0)</f>
        <v>0</v>
      </c>
      <c r="E223" s="11">
        <f>IF(C223&gt;0.01, C223*Jahreszins/ZahlungenProJahr, 0)</f>
        <v>0</v>
      </c>
      <c r="F223" s="11">
        <f>IF(C223&gt;0.01, D223-E223, 0)</f>
        <v>0</v>
      </c>
      <c r="G223" s="12"/>
      <c r="H223" s="11">
        <f>SUM(F223,G223)</f>
        <v>0</v>
      </c>
      <c r="I223" s="11">
        <f>C223-H223</f>
        <v>0</v>
      </c>
    </row>
    <row r="224" spans="1:9">
      <c r="A224">
        <f>IF(C224&gt;0.01, 223, "")</f>
        <v>0</v>
      </c>
      <c r="B224" s="10">
        <f>IF(C224&gt;0.01,EDATE(B223,12/ZahlungenProJahr),"")</f>
        <v>0</v>
      </c>
      <c r="C224" s="11">
        <f>I223</f>
        <v>0</v>
      </c>
      <c r="D224" s="11">
        <f>IF(C224&gt;0.01, MIN(Rate, C224*(1+Jahreszins/ZahlungenProJahr)), 0)</f>
        <v>0</v>
      </c>
      <c r="E224" s="11">
        <f>IF(C224&gt;0.01, C224*Jahreszins/ZahlungenProJahr, 0)</f>
        <v>0</v>
      </c>
      <c r="F224" s="11">
        <f>IF(C224&gt;0.01, D224-E224, 0)</f>
        <v>0</v>
      </c>
      <c r="G224" s="12"/>
      <c r="H224" s="11">
        <f>SUM(F224,G224)</f>
        <v>0</v>
      </c>
      <c r="I224" s="11">
        <f>C224-H224</f>
        <v>0</v>
      </c>
    </row>
    <row r="225" spans="1:9">
      <c r="A225">
        <f>IF(C225&gt;0.01, 224, "")</f>
        <v>0</v>
      </c>
      <c r="B225" s="10">
        <f>IF(C225&gt;0.01,EDATE(B224,12/ZahlungenProJahr),"")</f>
        <v>0</v>
      </c>
      <c r="C225" s="11">
        <f>I224</f>
        <v>0</v>
      </c>
      <c r="D225" s="11">
        <f>IF(C225&gt;0.01, MIN(Rate, C225*(1+Jahreszins/ZahlungenProJahr)), 0)</f>
        <v>0</v>
      </c>
      <c r="E225" s="11">
        <f>IF(C225&gt;0.01, C225*Jahreszins/ZahlungenProJahr, 0)</f>
        <v>0</v>
      </c>
      <c r="F225" s="11">
        <f>IF(C225&gt;0.01, D225-E225, 0)</f>
        <v>0</v>
      </c>
      <c r="G225" s="12"/>
      <c r="H225" s="11">
        <f>SUM(F225,G225)</f>
        <v>0</v>
      </c>
      <c r="I225" s="11">
        <f>C225-H225</f>
        <v>0</v>
      </c>
    </row>
    <row r="226" spans="1:9">
      <c r="A226">
        <f>IF(C226&gt;0.01, 225, "")</f>
        <v>0</v>
      </c>
      <c r="B226" s="10">
        <f>IF(C226&gt;0.01,EDATE(B225,12/ZahlungenProJahr),"")</f>
        <v>0</v>
      </c>
      <c r="C226" s="11">
        <f>I225</f>
        <v>0</v>
      </c>
      <c r="D226" s="11">
        <f>IF(C226&gt;0.01, MIN(Rate, C226*(1+Jahreszins/ZahlungenProJahr)), 0)</f>
        <v>0</v>
      </c>
      <c r="E226" s="11">
        <f>IF(C226&gt;0.01, C226*Jahreszins/ZahlungenProJahr, 0)</f>
        <v>0</v>
      </c>
      <c r="F226" s="11">
        <f>IF(C226&gt;0.01, D226-E226, 0)</f>
        <v>0</v>
      </c>
      <c r="G226" s="12"/>
      <c r="H226" s="11">
        <f>SUM(F226,G226)</f>
        <v>0</v>
      </c>
      <c r="I226" s="11">
        <f>C226-H226</f>
        <v>0</v>
      </c>
    </row>
    <row r="227" spans="1:9">
      <c r="A227">
        <f>IF(C227&gt;0.01, 226, "")</f>
        <v>0</v>
      </c>
      <c r="B227" s="10">
        <f>IF(C227&gt;0.01,EDATE(B226,12/ZahlungenProJahr),"")</f>
        <v>0</v>
      </c>
      <c r="C227" s="11">
        <f>I226</f>
        <v>0</v>
      </c>
      <c r="D227" s="11">
        <f>IF(C227&gt;0.01, MIN(Rate, C227*(1+Jahreszins/ZahlungenProJahr)), 0)</f>
        <v>0</v>
      </c>
      <c r="E227" s="11">
        <f>IF(C227&gt;0.01, C227*Jahreszins/ZahlungenProJahr, 0)</f>
        <v>0</v>
      </c>
      <c r="F227" s="11">
        <f>IF(C227&gt;0.01, D227-E227, 0)</f>
        <v>0</v>
      </c>
      <c r="G227" s="12"/>
      <c r="H227" s="11">
        <f>SUM(F227,G227)</f>
        <v>0</v>
      </c>
      <c r="I227" s="11">
        <f>C227-H227</f>
        <v>0</v>
      </c>
    </row>
    <row r="228" spans="1:9">
      <c r="A228">
        <f>IF(C228&gt;0.01, 227, "")</f>
        <v>0</v>
      </c>
      <c r="B228" s="10">
        <f>IF(C228&gt;0.01,EDATE(B227,12/ZahlungenProJahr),"")</f>
        <v>0</v>
      </c>
      <c r="C228" s="11">
        <f>I227</f>
        <v>0</v>
      </c>
      <c r="D228" s="11">
        <f>IF(C228&gt;0.01, MIN(Rate, C228*(1+Jahreszins/ZahlungenProJahr)), 0)</f>
        <v>0</v>
      </c>
      <c r="E228" s="11">
        <f>IF(C228&gt;0.01, C228*Jahreszins/ZahlungenProJahr, 0)</f>
        <v>0</v>
      </c>
      <c r="F228" s="11">
        <f>IF(C228&gt;0.01, D228-E228, 0)</f>
        <v>0</v>
      </c>
      <c r="G228" s="12"/>
      <c r="H228" s="11">
        <f>SUM(F228,G228)</f>
        <v>0</v>
      </c>
      <c r="I228" s="11">
        <f>C228-H228</f>
        <v>0</v>
      </c>
    </row>
    <row r="229" spans="1:9">
      <c r="A229">
        <f>IF(C229&gt;0.01, 228, "")</f>
        <v>0</v>
      </c>
      <c r="B229" s="10">
        <f>IF(C229&gt;0.01,EDATE(B228,12/ZahlungenProJahr),"")</f>
        <v>0</v>
      </c>
      <c r="C229" s="11">
        <f>I228</f>
        <v>0</v>
      </c>
      <c r="D229" s="11">
        <f>IF(C229&gt;0.01, MIN(Rate, C229*(1+Jahreszins/ZahlungenProJahr)), 0)</f>
        <v>0</v>
      </c>
      <c r="E229" s="11">
        <f>IF(C229&gt;0.01, C229*Jahreszins/ZahlungenProJahr, 0)</f>
        <v>0</v>
      </c>
      <c r="F229" s="11">
        <f>IF(C229&gt;0.01, D229-E229, 0)</f>
        <v>0</v>
      </c>
      <c r="G229" s="12"/>
      <c r="H229" s="11">
        <f>SUM(F229,G229)</f>
        <v>0</v>
      </c>
      <c r="I229" s="11">
        <f>C229-H229</f>
        <v>0</v>
      </c>
    </row>
    <row r="230" spans="1:9">
      <c r="A230">
        <f>IF(C230&gt;0.01, 229, "")</f>
        <v>0</v>
      </c>
      <c r="B230" s="10">
        <f>IF(C230&gt;0.01,EDATE(B229,12/ZahlungenProJahr),"")</f>
        <v>0</v>
      </c>
      <c r="C230" s="11">
        <f>I229</f>
        <v>0</v>
      </c>
      <c r="D230" s="11">
        <f>IF(C230&gt;0.01, MIN(Rate, C230*(1+Jahreszins/ZahlungenProJahr)), 0)</f>
        <v>0</v>
      </c>
      <c r="E230" s="11">
        <f>IF(C230&gt;0.01, C230*Jahreszins/ZahlungenProJahr, 0)</f>
        <v>0</v>
      </c>
      <c r="F230" s="11">
        <f>IF(C230&gt;0.01, D230-E230, 0)</f>
        <v>0</v>
      </c>
      <c r="G230" s="12"/>
      <c r="H230" s="11">
        <f>SUM(F230,G230)</f>
        <v>0</v>
      </c>
      <c r="I230" s="11">
        <f>C230-H230</f>
        <v>0</v>
      </c>
    </row>
    <row r="231" spans="1:9">
      <c r="A231">
        <f>IF(C231&gt;0.01, 230, "")</f>
        <v>0</v>
      </c>
      <c r="B231" s="10">
        <f>IF(C231&gt;0.01,EDATE(B230,12/ZahlungenProJahr),"")</f>
        <v>0</v>
      </c>
      <c r="C231" s="11">
        <f>I230</f>
        <v>0</v>
      </c>
      <c r="D231" s="11">
        <f>IF(C231&gt;0.01, MIN(Rate, C231*(1+Jahreszins/ZahlungenProJahr)), 0)</f>
        <v>0</v>
      </c>
      <c r="E231" s="11">
        <f>IF(C231&gt;0.01, C231*Jahreszins/ZahlungenProJahr, 0)</f>
        <v>0</v>
      </c>
      <c r="F231" s="11">
        <f>IF(C231&gt;0.01, D231-E231, 0)</f>
        <v>0</v>
      </c>
      <c r="G231" s="12"/>
      <c r="H231" s="11">
        <f>SUM(F231,G231)</f>
        <v>0</v>
      </c>
      <c r="I231" s="11">
        <f>C231-H231</f>
        <v>0</v>
      </c>
    </row>
    <row r="232" spans="1:9">
      <c r="A232">
        <f>IF(C232&gt;0.01, 231, "")</f>
        <v>0</v>
      </c>
      <c r="B232" s="10">
        <f>IF(C232&gt;0.01,EDATE(B231,12/ZahlungenProJahr),"")</f>
        <v>0</v>
      </c>
      <c r="C232" s="11">
        <f>I231</f>
        <v>0</v>
      </c>
      <c r="D232" s="11">
        <f>IF(C232&gt;0.01, MIN(Rate, C232*(1+Jahreszins/ZahlungenProJahr)), 0)</f>
        <v>0</v>
      </c>
      <c r="E232" s="11">
        <f>IF(C232&gt;0.01, C232*Jahreszins/ZahlungenProJahr, 0)</f>
        <v>0</v>
      </c>
      <c r="F232" s="11">
        <f>IF(C232&gt;0.01, D232-E232, 0)</f>
        <v>0</v>
      </c>
      <c r="G232" s="12"/>
      <c r="H232" s="11">
        <f>SUM(F232,G232)</f>
        <v>0</v>
      </c>
      <c r="I232" s="11">
        <f>C232-H232</f>
        <v>0</v>
      </c>
    </row>
    <row r="233" spans="1:9">
      <c r="A233">
        <f>IF(C233&gt;0.01, 232, "")</f>
        <v>0</v>
      </c>
      <c r="B233" s="10">
        <f>IF(C233&gt;0.01,EDATE(B232,12/ZahlungenProJahr),"")</f>
        <v>0</v>
      </c>
      <c r="C233" s="11">
        <f>I232</f>
        <v>0</v>
      </c>
      <c r="D233" s="11">
        <f>IF(C233&gt;0.01, MIN(Rate, C233*(1+Jahreszins/ZahlungenProJahr)), 0)</f>
        <v>0</v>
      </c>
      <c r="E233" s="11">
        <f>IF(C233&gt;0.01, C233*Jahreszins/ZahlungenProJahr, 0)</f>
        <v>0</v>
      </c>
      <c r="F233" s="11">
        <f>IF(C233&gt;0.01, D233-E233, 0)</f>
        <v>0</v>
      </c>
      <c r="G233" s="12"/>
      <c r="H233" s="11">
        <f>SUM(F233,G233)</f>
        <v>0</v>
      </c>
      <c r="I233" s="11">
        <f>C233-H233</f>
        <v>0</v>
      </c>
    </row>
    <row r="234" spans="1:9">
      <c r="A234">
        <f>IF(C234&gt;0.01, 233, "")</f>
        <v>0</v>
      </c>
      <c r="B234" s="10">
        <f>IF(C234&gt;0.01,EDATE(B233,12/ZahlungenProJahr),"")</f>
        <v>0</v>
      </c>
      <c r="C234" s="11">
        <f>I233</f>
        <v>0</v>
      </c>
      <c r="D234" s="11">
        <f>IF(C234&gt;0.01, MIN(Rate, C234*(1+Jahreszins/ZahlungenProJahr)), 0)</f>
        <v>0</v>
      </c>
      <c r="E234" s="11">
        <f>IF(C234&gt;0.01, C234*Jahreszins/ZahlungenProJahr, 0)</f>
        <v>0</v>
      </c>
      <c r="F234" s="11">
        <f>IF(C234&gt;0.01, D234-E234, 0)</f>
        <v>0</v>
      </c>
      <c r="G234" s="12"/>
      <c r="H234" s="11">
        <f>SUM(F234,G234)</f>
        <v>0</v>
      </c>
      <c r="I234" s="11">
        <f>C234-H234</f>
        <v>0</v>
      </c>
    </row>
    <row r="235" spans="1:9">
      <c r="A235">
        <f>IF(C235&gt;0.01, 234, "")</f>
        <v>0</v>
      </c>
      <c r="B235" s="10">
        <f>IF(C235&gt;0.01,EDATE(B234,12/ZahlungenProJahr),"")</f>
        <v>0</v>
      </c>
      <c r="C235" s="11">
        <f>I234</f>
        <v>0</v>
      </c>
      <c r="D235" s="11">
        <f>IF(C235&gt;0.01, MIN(Rate, C235*(1+Jahreszins/ZahlungenProJahr)), 0)</f>
        <v>0</v>
      </c>
      <c r="E235" s="11">
        <f>IF(C235&gt;0.01, C235*Jahreszins/ZahlungenProJahr, 0)</f>
        <v>0</v>
      </c>
      <c r="F235" s="11">
        <f>IF(C235&gt;0.01, D235-E235, 0)</f>
        <v>0</v>
      </c>
      <c r="G235" s="12"/>
      <c r="H235" s="11">
        <f>SUM(F235,G235)</f>
        <v>0</v>
      </c>
      <c r="I235" s="11">
        <f>C235-H235</f>
        <v>0</v>
      </c>
    </row>
    <row r="236" spans="1:9">
      <c r="A236">
        <f>IF(C236&gt;0.01, 235, "")</f>
        <v>0</v>
      </c>
      <c r="B236" s="10">
        <f>IF(C236&gt;0.01,EDATE(B235,12/ZahlungenProJahr),"")</f>
        <v>0</v>
      </c>
      <c r="C236" s="11">
        <f>I235</f>
        <v>0</v>
      </c>
      <c r="D236" s="11">
        <f>IF(C236&gt;0.01, MIN(Rate, C236*(1+Jahreszins/ZahlungenProJahr)), 0)</f>
        <v>0</v>
      </c>
      <c r="E236" s="11">
        <f>IF(C236&gt;0.01, C236*Jahreszins/ZahlungenProJahr, 0)</f>
        <v>0</v>
      </c>
      <c r="F236" s="11">
        <f>IF(C236&gt;0.01, D236-E236, 0)</f>
        <v>0</v>
      </c>
      <c r="G236" s="12"/>
      <c r="H236" s="11">
        <f>SUM(F236,G236)</f>
        <v>0</v>
      </c>
      <c r="I236" s="11">
        <f>C236-H236</f>
        <v>0</v>
      </c>
    </row>
    <row r="237" spans="1:9">
      <c r="A237">
        <f>IF(C237&gt;0.01, 236, "")</f>
        <v>0</v>
      </c>
      <c r="B237" s="10">
        <f>IF(C237&gt;0.01,EDATE(B236,12/ZahlungenProJahr),"")</f>
        <v>0</v>
      </c>
      <c r="C237" s="11">
        <f>I236</f>
        <v>0</v>
      </c>
      <c r="D237" s="11">
        <f>IF(C237&gt;0.01, MIN(Rate, C237*(1+Jahreszins/ZahlungenProJahr)), 0)</f>
        <v>0</v>
      </c>
      <c r="E237" s="11">
        <f>IF(C237&gt;0.01, C237*Jahreszins/ZahlungenProJahr, 0)</f>
        <v>0</v>
      </c>
      <c r="F237" s="11">
        <f>IF(C237&gt;0.01, D237-E237, 0)</f>
        <v>0</v>
      </c>
      <c r="G237" s="12"/>
      <c r="H237" s="11">
        <f>SUM(F237,G237)</f>
        <v>0</v>
      </c>
      <c r="I237" s="11">
        <f>C237-H237</f>
        <v>0</v>
      </c>
    </row>
    <row r="238" spans="1:9">
      <c r="A238">
        <f>IF(C238&gt;0.01, 237, "")</f>
        <v>0</v>
      </c>
      <c r="B238" s="10">
        <f>IF(C238&gt;0.01,EDATE(B237,12/ZahlungenProJahr),"")</f>
        <v>0</v>
      </c>
      <c r="C238" s="11">
        <f>I237</f>
        <v>0</v>
      </c>
      <c r="D238" s="11">
        <f>IF(C238&gt;0.01, MIN(Rate, C238*(1+Jahreszins/ZahlungenProJahr)), 0)</f>
        <v>0</v>
      </c>
      <c r="E238" s="11">
        <f>IF(C238&gt;0.01, C238*Jahreszins/ZahlungenProJahr, 0)</f>
        <v>0</v>
      </c>
      <c r="F238" s="11">
        <f>IF(C238&gt;0.01, D238-E238, 0)</f>
        <v>0</v>
      </c>
      <c r="G238" s="12"/>
      <c r="H238" s="11">
        <f>SUM(F238,G238)</f>
        <v>0</v>
      </c>
      <c r="I238" s="11">
        <f>C238-H238</f>
        <v>0</v>
      </c>
    </row>
    <row r="239" spans="1:9">
      <c r="A239">
        <f>IF(C239&gt;0.01, 238, "")</f>
        <v>0</v>
      </c>
      <c r="B239" s="10">
        <f>IF(C239&gt;0.01,EDATE(B238,12/ZahlungenProJahr),"")</f>
        <v>0</v>
      </c>
      <c r="C239" s="11">
        <f>I238</f>
        <v>0</v>
      </c>
      <c r="D239" s="11">
        <f>IF(C239&gt;0.01, MIN(Rate, C239*(1+Jahreszins/ZahlungenProJahr)), 0)</f>
        <v>0</v>
      </c>
      <c r="E239" s="11">
        <f>IF(C239&gt;0.01, C239*Jahreszins/ZahlungenProJahr, 0)</f>
        <v>0</v>
      </c>
      <c r="F239" s="11">
        <f>IF(C239&gt;0.01, D239-E239, 0)</f>
        <v>0</v>
      </c>
      <c r="G239" s="12"/>
      <c r="H239" s="11">
        <f>SUM(F239,G239)</f>
        <v>0</v>
      </c>
      <c r="I239" s="11">
        <f>C239-H239</f>
        <v>0</v>
      </c>
    </row>
    <row r="240" spans="1:9">
      <c r="A240">
        <f>IF(C240&gt;0.01, 239, "")</f>
        <v>0</v>
      </c>
      <c r="B240" s="10">
        <f>IF(C240&gt;0.01,EDATE(B239,12/ZahlungenProJahr),"")</f>
        <v>0</v>
      </c>
      <c r="C240" s="11">
        <f>I239</f>
        <v>0</v>
      </c>
      <c r="D240" s="11">
        <f>IF(C240&gt;0.01, MIN(Rate, C240*(1+Jahreszins/ZahlungenProJahr)), 0)</f>
        <v>0</v>
      </c>
      <c r="E240" s="11">
        <f>IF(C240&gt;0.01, C240*Jahreszins/ZahlungenProJahr, 0)</f>
        <v>0</v>
      </c>
      <c r="F240" s="11">
        <f>IF(C240&gt;0.01, D240-E240, 0)</f>
        <v>0</v>
      </c>
      <c r="G240" s="12"/>
      <c r="H240" s="11">
        <f>SUM(F240,G240)</f>
        <v>0</v>
      </c>
      <c r="I240" s="11">
        <f>C240-H240</f>
        <v>0</v>
      </c>
    </row>
    <row r="241" spans="1:9">
      <c r="A241">
        <f>IF(C241&gt;0.01, 240, "")</f>
        <v>0</v>
      </c>
      <c r="B241" s="10">
        <f>IF(C241&gt;0.01,EDATE(B240,12/ZahlungenProJahr),"")</f>
        <v>0</v>
      </c>
      <c r="C241" s="11">
        <f>I240</f>
        <v>0</v>
      </c>
      <c r="D241" s="11">
        <f>IF(C241&gt;0.01, MIN(Rate, C241*(1+Jahreszins/ZahlungenProJahr)), 0)</f>
        <v>0</v>
      </c>
      <c r="E241" s="11">
        <f>IF(C241&gt;0.01, C241*Jahreszins/ZahlungenProJahr, 0)</f>
        <v>0</v>
      </c>
      <c r="F241" s="11">
        <f>IF(C241&gt;0.01, D241-E241, 0)</f>
        <v>0</v>
      </c>
      <c r="G241" s="12"/>
      <c r="H241" s="11">
        <f>SUM(F241,G241)</f>
        <v>0</v>
      </c>
      <c r="I241" s="11">
        <f>C241-H241</f>
        <v>0</v>
      </c>
    </row>
    <row r="242" spans="1:9">
      <c r="A242">
        <f>IF(C242&gt;0.01, 241, "")</f>
        <v>0</v>
      </c>
      <c r="B242" s="10">
        <f>IF(C242&gt;0.01,EDATE(B241,12/ZahlungenProJahr),"")</f>
        <v>0</v>
      </c>
      <c r="C242" s="11">
        <f>I241</f>
        <v>0</v>
      </c>
      <c r="D242" s="11">
        <f>IF(C242&gt;0.01, MIN(Rate, C242*(1+Jahreszins/ZahlungenProJahr)), 0)</f>
        <v>0</v>
      </c>
      <c r="E242" s="11">
        <f>IF(C242&gt;0.01, C242*Jahreszins/ZahlungenProJahr, 0)</f>
        <v>0</v>
      </c>
      <c r="F242" s="11">
        <f>IF(C242&gt;0.01, D242-E242, 0)</f>
        <v>0</v>
      </c>
      <c r="G242" s="12"/>
      <c r="H242" s="11">
        <f>SUM(F242,G242)</f>
        <v>0</v>
      </c>
      <c r="I242" s="11">
        <f>C242-H242</f>
        <v>0</v>
      </c>
    </row>
    <row r="243" spans="1:9">
      <c r="A243">
        <f>IF(C243&gt;0.01, 242, "")</f>
        <v>0</v>
      </c>
      <c r="B243" s="10">
        <f>IF(C243&gt;0.01,EDATE(B242,12/ZahlungenProJahr),"")</f>
        <v>0</v>
      </c>
      <c r="C243" s="11">
        <f>I242</f>
        <v>0</v>
      </c>
      <c r="D243" s="11">
        <f>IF(C243&gt;0.01, MIN(Rate, C243*(1+Jahreszins/ZahlungenProJahr)), 0)</f>
        <v>0</v>
      </c>
      <c r="E243" s="11">
        <f>IF(C243&gt;0.01, C243*Jahreszins/ZahlungenProJahr, 0)</f>
        <v>0</v>
      </c>
      <c r="F243" s="11">
        <f>IF(C243&gt;0.01, D243-E243, 0)</f>
        <v>0</v>
      </c>
      <c r="G243" s="12"/>
      <c r="H243" s="11">
        <f>SUM(F243,G243)</f>
        <v>0</v>
      </c>
      <c r="I243" s="11">
        <f>C243-H243</f>
        <v>0</v>
      </c>
    </row>
    <row r="244" spans="1:9">
      <c r="A244">
        <f>IF(C244&gt;0.01, 243, "")</f>
        <v>0</v>
      </c>
      <c r="B244" s="10">
        <f>IF(C244&gt;0.01,EDATE(B243,12/ZahlungenProJahr),"")</f>
        <v>0</v>
      </c>
      <c r="C244" s="11">
        <f>I243</f>
        <v>0</v>
      </c>
      <c r="D244" s="11">
        <f>IF(C244&gt;0.01, MIN(Rate, C244*(1+Jahreszins/ZahlungenProJahr)), 0)</f>
        <v>0</v>
      </c>
      <c r="E244" s="11">
        <f>IF(C244&gt;0.01, C244*Jahreszins/ZahlungenProJahr, 0)</f>
        <v>0</v>
      </c>
      <c r="F244" s="11">
        <f>IF(C244&gt;0.01, D244-E244, 0)</f>
        <v>0</v>
      </c>
      <c r="G244" s="12"/>
      <c r="H244" s="11">
        <f>SUM(F244,G244)</f>
        <v>0</v>
      </c>
      <c r="I244" s="11">
        <f>C244-H244</f>
        <v>0</v>
      </c>
    </row>
    <row r="245" spans="1:9">
      <c r="A245">
        <f>IF(C245&gt;0.01, 244, "")</f>
        <v>0</v>
      </c>
      <c r="B245" s="10">
        <f>IF(C245&gt;0.01,EDATE(B244,12/ZahlungenProJahr),"")</f>
        <v>0</v>
      </c>
      <c r="C245" s="11">
        <f>I244</f>
        <v>0</v>
      </c>
      <c r="D245" s="11">
        <f>IF(C245&gt;0.01, MIN(Rate, C245*(1+Jahreszins/ZahlungenProJahr)), 0)</f>
        <v>0</v>
      </c>
      <c r="E245" s="11">
        <f>IF(C245&gt;0.01, C245*Jahreszins/ZahlungenProJahr, 0)</f>
        <v>0</v>
      </c>
      <c r="F245" s="11">
        <f>IF(C245&gt;0.01, D245-E245, 0)</f>
        <v>0</v>
      </c>
      <c r="G245" s="12"/>
      <c r="H245" s="11">
        <f>SUM(F245,G245)</f>
        <v>0</v>
      </c>
      <c r="I245" s="11">
        <f>C245-H245</f>
        <v>0</v>
      </c>
    </row>
    <row r="246" spans="1:9">
      <c r="A246">
        <f>IF(C246&gt;0.01, 245, "")</f>
        <v>0</v>
      </c>
      <c r="B246" s="10">
        <f>IF(C246&gt;0.01,EDATE(B245,12/ZahlungenProJahr),"")</f>
        <v>0</v>
      </c>
      <c r="C246" s="11">
        <f>I245</f>
        <v>0</v>
      </c>
      <c r="D246" s="11">
        <f>IF(C246&gt;0.01, MIN(Rate, C246*(1+Jahreszins/ZahlungenProJahr)), 0)</f>
        <v>0</v>
      </c>
      <c r="E246" s="11">
        <f>IF(C246&gt;0.01, C246*Jahreszins/ZahlungenProJahr, 0)</f>
        <v>0</v>
      </c>
      <c r="F246" s="11">
        <f>IF(C246&gt;0.01, D246-E246, 0)</f>
        <v>0</v>
      </c>
      <c r="G246" s="12"/>
      <c r="H246" s="11">
        <f>SUM(F246,G246)</f>
        <v>0</v>
      </c>
      <c r="I246" s="11">
        <f>C246-H246</f>
        <v>0</v>
      </c>
    </row>
    <row r="247" spans="1:9">
      <c r="A247">
        <f>IF(C247&gt;0.01, 246, "")</f>
        <v>0</v>
      </c>
      <c r="B247" s="10">
        <f>IF(C247&gt;0.01,EDATE(B246,12/ZahlungenProJahr),"")</f>
        <v>0</v>
      </c>
      <c r="C247" s="11">
        <f>I246</f>
        <v>0</v>
      </c>
      <c r="D247" s="11">
        <f>IF(C247&gt;0.01, MIN(Rate, C247*(1+Jahreszins/ZahlungenProJahr)), 0)</f>
        <v>0</v>
      </c>
      <c r="E247" s="11">
        <f>IF(C247&gt;0.01, C247*Jahreszins/ZahlungenProJahr, 0)</f>
        <v>0</v>
      </c>
      <c r="F247" s="11">
        <f>IF(C247&gt;0.01, D247-E247, 0)</f>
        <v>0</v>
      </c>
      <c r="G247" s="12"/>
      <c r="H247" s="11">
        <f>SUM(F247,G247)</f>
        <v>0</v>
      </c>
      <c r="I247" s="11">
        <f>C247-H247</f>
        <v>0</v>
      </c>
    </row>
    <row r="248" spans="1:9">
      <c r="A248">
        <f>IF(C248&gt;0.01, 247, "")</f>
        <v>0</v>
      </c>
      <c r="B248" s="10">
        <f>IF(C248&gt;0.01,EDATE(B247,12/ZahlungenProJahr),"")</f>
        <v>0</v>
      </c>
      <c r="C248" s="11">
        <f>I247</f>
        <v>0</v>
      </c>
      <c r="D248" s="11">
        <f>IF(C248&gt;0.01, MIN(Rate, C248*(1+Jahreszins/ZahlungenProJahr)), 0)</f>
        <v>0</v>
      </c>
      <c r="E248" s="11">
        <f>IF(C248&gt;0.01, C248*Jahreszins/ZahlungenProJahr, 0)</f>
        <v>0</v>
      </c>
      <c r="F248" s="11">
        <f>IF(C248&gt;0.01, D248-E248, 0)</f>
        <v>0</v>
      </c>
      <c r="G248" s="12"/>
      <c r="H248" s="11">
        <f>SUM(F248,G248)</f>
        <v>0</v>
      </c>
      <c r="I248" s="11">
        <f>C248-H248</f>
        <v>0</v>
      </c>
    </row>
    <row r="249" spans="1:9">
      <c r="A249">
        <f>IF(C249&gt;0.01, 248, "")</f>
        <v>0</v>
      </c>
      <c r="B249" s="10">
        <f>IF(C249&gt;0.01,EDATE(B248,12/ZahlungenProJahr),"")</f>
        <v>0</v>
      </c>
      <c r="C249" s="11">
        <f>I248</f>
        <v>0</v>
      </c>
      <c r="D249" s="11">
        <f>IF(C249&gt;0.01, MIN(Rate, C249*(1+Jahreszins/ZahlungenProJahr)), 0)</f>
        <v>0</v>
      </c>
      <c r="E249" s="11">
        <f>IF(C249&gt;0.01, C249*Jahreszins/ZahlungenProJahr, 0)</f>
        <v>0</v>
      </c>
      <c r="F249" s="11">
        <f>IF(C249&gt;0.01, D249-E249, 0)</f>
        <v>0</v>
      </c>
      <c r="G249" s="12"/>
      <c r="H249" s="11">
        <f>SUM(F249,G249)</f>
        <v>0</v>
      </c>
      <c r="I249" s="11">
        <f>C249-H249</f>
        <v>0</v>
      </c>
    </row>
    <row r="250" spans="1:9">
      <c r="A250">
        <f>IF(C250&gt;0.01, 249, "")</f>
        <v>0</v>
      </c>
      <c r="B250" s="10">
        <f>IF(C250&gt;0.01,EDATE(B249,12/ZahlungenProJahr),"")</f>
        <v>0</v>
      </c>
      <c r="C250" s="11">
        <f>I249</f>
        <v>0</v>
      </c>
      <c r="D250" s="11">
        <f>IF(C250&gt;0.01, MIN(Rate, C250*(1+Jahreszins/ZahlungenProJahr)), 0)</f>
        <v>0</v>
      </c>
      <c r="E250" s="11">
        <f>IF(C250&gt;0.01, C250*Jahreszins/ZahlungenProJahr, 0)</f>
        <v>0</v>
      </c>
      <c r="F250" s="11">
        <f>IF(C250&gt;0.01, D250-E250, 0)</f>
        <v>0</v>
      </c>
      <c r="G250" s="12"/>
      <c r="H250" s="11">
        <f>SUM(F250,G250)</f>
        <v>0</v>
      </c>
      <c r="I250" s="11">
        <f>C250-H250</f>
        <v>0</v>
      </c>
    </row>
    <row r="251" spans="1:9">
      <c r="A251">
        <f>IF(C251&gt;0.01, 250, "")</f>
        <v>0</v>
      </c>
      <c r="B251" s="10">
        <f>IF(C251&gt;0.01,EDATE(B250,12/ZahlungenProJahr),"")</f>
        <v>0</v>
      </c>
      <c r="C251" s="11">
        <f>I250</f>
        <v>0</v>
      </c>
      <c r="D251" s="11">
        <f>IF(C251&gt;0.01, MIN(Rate, C251*(1+Jahreszins/ZahlungenProJahr)), 0)</f>
        <v>0</v>
      </c>
      <c r="E251" s="11">
        <f>IF(C251&gt;0.01, C251*Jahreszins/ZahlungenProJahr, 0)</f>
        <v>0</v>
      </c>
      <c r="F251" s="11">
        <f>IF(C251&gt;0.01, D251-E251, 0)</f>
        <v>0</v>
      </c>
      <c r="G251" s="12"/>
      <c r="H251" s="11">
        <f>SUM(F251,G251)</f>
        <v>0</v>
      </c>
      <c r="I251" s="11">
        <f>C251-H251</f>
        <v>0</v>
      </c>
    </row>
    <row r="252" spans="1:9">
      <c r="A252">
        <f>IF(C252&gt;0.01, 251, "")</f>
        <v>0</v>
      </c>
      <c r="B252" s="10">
        <f>IF(C252&gt;0.01,EDATE(B251,12/ZahlungenProJahr),"")</f>
        <v>0</v>
      </c>
      <c r="C252" s="11">
        <f>I251</f>
        <v>0</v>
      </c>
      <c r="D252" s="11">
        <f>IF(C252&gt;0.01, MIN(Rate, C252*(1+Jahreszins/ZahlungenProJahr)), 0)</f>
        <v>0</v>
      </c>
      <c r="E252" s="11">
        <f>IF(C252&gt;0.01, C252*Jahreszins/ZahlungenProJahr, 0)</f>
        <v>0</v>
      </c>
      <c r="F252" s="11">
        <f>IF(C252&gt;0.01, D252-E252, 0)</f>
        <v>0</v>
      </c>
      <c r="G252" s="12"/>
      <c r="H252" s="11">
        <f>SUM(F252,G252)</f>
        <v>0</v>
      </c>
      <c r="I252" s="11">
        <f>C252-H252</f>
        <v>0</v>
      </c>
    </row>
    <row r="253" spans="1:9">
      <c r="A253">
        <f>IF(C253&gt;0.01, 252, "")</f>
        <v>0</v>
      </c>
      <c r="B253" s="10">
        <f>IF(C253&gt;0.01,EDATE(B252,12/ZahlungenProJahr),"")</f>
        <v>0</v>
      </c>
      <c r="C253" s="11">
        <f>I252</f>
        <v>0</v>
      </c>
      <c r="D253" s="11">
        <f>IF(C253&gt;0.01, MIN(Rate, C253*(1+Jahreszins/ZahlungenProJahr)), 0)</f>
        <v>0</v>
      </c>
      <c r="E253" s="11">
        <f>IF(C253&gt;0.01, C253*Jahreszins/ZahlungenProJahr, 0)</f>
        <v>0</v>
      </c>
      <c r="F253" s="11">
        <f>IF(C253&gt;0.01, D253-E253, 0)</f>
        <v>0</v>
      </c>
      <c r="G253" s="12"/>
      <c r="H253" s="11">
        <f>SUM(F253,G253)</f>
        <v>0</v>
      </c>
      <c r="I253" s="11">
        <f>C253-H253</f>
        <v>0</v>
      </c>
    </row>
    <row r="254" spans="1:9">
      <c r="A254">
        <f>IF(C254&gt;0.01, 253, "")</f>
        <v>0</v>
      </c>
      <c r="B254" s="10">
        <f>IF(C254&gt;0.01,EDATE(B253,12/ZahlungenProJahr),"")</f>
        <v>0</v>
      </c>
      <c r="C254" s="11">
        <f>I253</f>
        <v>0</v>
      </c>
      <c r="D254" s="11">
        <f>IF(C254&gt;0.01, MIN(Rate, C254*(1+Jahreszins/ZahlungenProJahr)), 0)</f>
        <v>0</v>
      </c>
      <c r="E254" s="11">
        <f>IF(C254&gt;0.01, C254*Jahreszins/ZahlungenProJahr, 0)</f>
        <v>0</v>
      </c>
      <c r="F254" s="11">
        <f>IF(C254&gt;0.01, D254-E254, 0)</f>
        <v>0</v>
      </c>
      <c r="G254" s="12"/>
      <c r="H254" s="11">
        <f>SUM(F254,G254)</f>
        <v>0</v>
      </c>
      <c r="I254" s="11">
        <f>C254-H254</f>
        <v>0</v>
      </c>
    </row>
    <row r="255" spans="1:9">
      <c r="A255">
        <f>IF(C255&gt;0.01, 254, "")</f>
        <v>0</v>
      </c>
      <c r="B255" s="10">
        <f>IF(C255&gt;0.01,EDATE(B254,12/ZahlungenProJahr),"")</f>
        <v>0</v>
      </c>
      <c r="C255" s="11">
        <f>I254</f>
        <v>0</v>
      </c>
      <c r="D255" s="11">
        <f>IF(C255&gt;0.01, MIN(Rate, C255*(1+Jahreszins/ZahlungenProJahr)), 0)</f>
        <v>0</v>
      </c>
      <c r="E255" s="11">
        <f>IF(C255&gt;0.01, C255*Jahreszins/ZahlungenProJahr, 0)</f>
        <v>0</v>
      </c>
      <c r="F255" s="11">
        <f>IF(C255&gt;0.01, D255-E255, 0)</f>
        <v>0</v>
      </c>
      <c r="G255" s="12"/>
      <c r="H255" s="11">
        <f>SUM(F255,G255)</f>
        <v>0</v>
      </c>
      <c r="I255" s="11">
        <f>C255-H255</f>
        <v>0</v>
      </c>
    </row>
    <row r="256" spans="1:9">
      <c r="A256">
        <f>IF(C256&gt;0.01, 255, "")</f>
        <v>0</v>
      </c>
      <c r="B256" s="10">
        <f>IF(C256&gt;0.01,EDATE(B255,12/ZahlungenProJahr),"")</f>
        <v>0</v>
      </c>
      <c r="C256" s="11">
        <f>I255</f>
        <v>0</v>
      </c>
      <c r="D256" s="11">
        <f>IF(C256&gt;0.01, MIN(Rate, C256*(1+Jahreszins/ZahlungenProJahr)), 0)</f>
        <v>0</v>
      </c>
      <c r="E256" s="11">
        <f>IF(C256&gt;0.01, C256*Jahreszins/ZahlungenProJahr, 0)</f>
        <v>0</v>
      </c>
      <c r="F256" s="11">
        <f>IF(C256&gt;0.01, D256-E256, 0)</f>
        <v>0</v>
      </c>
      <c r="G256" s="12"/>
      <c r="H256" s="11">
        <f>SUM(F256,G256)</f>
        <v>0</v>
      </c>
      <c r="I256" s="11">
        <f>C256-H256</f>
        <v>0</v>
      </c>
    </row>
    <row r="257" spans="1:9">
      <c r="A257">
        <f>IF(C257&gt;0.01, 256, "")</f>
        <v>0</v>
      </c>
      <c r="B257" s="10">
        <f>IF(C257&gt;0.01,EDATE(B256,12/ZahlungenProJahr),"")</f>
        <v>0</v>
      </c>
      <c r="C257" s="11">
        <f>I256</f>
        <v>0</v>
      </c>
      <c r="D257" s="11">
        <f>IF(C257&gt;0.01, MIN(Rate, C257*(1+Jahreszins/ZahlungenProJahr)), 0)</f>
        <v>0</v>
      </c>
      <c r="E257" s="11">
        <f>IF(C257&gt;0.01, C257*Jahreszins/ZahlungenProJahr, 0)</f>
        <v>0</v>
      </c>
      <c r="F257" s="11">
        <f>IF(C257&gt;0.01, D257-E257, 0)</f>
        <v>0</v>
      </c>
      <c r="G257" s="12"/>
      <c r="H257" s="11">
        <f>SUM(F257,G257)</f>
        <v>0</v>
      </c>
      <c r="I257" s="11">
        <f>C257-H257</f>
        <v>0</v>
      </c>
    </row>
    <row r="258" spans="1:9">
      <c r="A258">
        <f>IF(C258&gt;0.01, 257, "")</f>
        <v>0</v>
      </c>
      <c r="B258" s="10">
        <f>IF(C258&gt;0.01,EDATE(B257,12/ZahlungenProJahr),"")</f>
        <v>0</v>
      </c>
      <c r="C258" s="11">
        <f>I257</f>
        <v>0</v>
      </c>
      <c r="D258" s="11">
        <f>IF(C258&gt;0.01, MIN(Rate, C258*(1+Jahreszins/ZahlungenProJahr)), 0)</f>
        <v>0</v>
      </c>
      <c r="E258" s="11">
        <f>IF(C258&gt;0.01, C258*Jahreszins/ZahlungenProJahr, 0)</f>
        <v>0</v>
      </c>
      <c r="F258" s="11">
        <f>IF(C258&gt;0.01, D258-E258, 0)</f>
        <v>0</v>
      </c>
      <c r="G258" s="12"/>
      <c r="H258" s="11">
        <f>SUM(F258,G258)</f>
        <v>0</v>
      </c>
      <c r="I258" s="11">
        <f>C258-H258</f>
        <v>0</v>
      </c>
    </row>
    <row r="259" spans="1:9">
      <c r="A259">
        <f>IF(C259&gt;0.01, 258, "")</f>
        <v>0</v>
      </c>
      <c r="B259" s="10">
        <f>IF(C259&gt;0.01,EDATE(B258,12/ZahlungenProJahr),"")</f>
        <v>0</v>
      </c>
      <c r="C259" s="11">
        <f>I258</f>
        <v>0</v>
      </c>
      <c r="D259" s="11">
        <f>IF(C259&gt;0.01, MIN(Rate, C259*(1+Jahreszins/ZahlungenProJahr)), 0)</f>
        <v>0</v>
      </c>
      <c r="E259" s="11">
        <f>IF(C259&gt;0.01, C259*Jahreszins/ZahlungenProJahr, 0)</f>
        <v>0</v>
      </c>
      <c r="F259" s="11">
        <f>IF(C259&gt;0.01, D259-E259, 0)</f>
        <v>0</v>
      </c>
      <c r="G259" s="12"/>
      <c r="H259" s="11">
        <f>SUM(F259,G259)</f>
        <v>0</v>
      </c>
      <c r="I259" s="11">
        <f>C259-H259</f>
        <v>0</v>
      </c>
    </row>
    <row r="260" spans="1:9">
      <c r="A260">
        <f>IF(C260&gt;0.01, 259, "")</f>
        <v>0</v>
      </c>
      <c r="B260" s="10">
        <f>IF(C260&gt;0.01,EDATE(B259,12/ZahlungenProJahr),"")</f>
        <v>0</v>
      </c>
      <c r="C260" s="11">
        <f>I259</f>
        <v>0</v>
      </c>
      <c r="D260" s="11">
        <f>IF(C260&gt;0.01, MIN(Rate, C260*(1+Jahreszins/ZahlungenProJahr)), 0)</f>
        <v>0</v>
      </c>
      <c r="E260" s="11">
        <f>IF(C260&gt;0.01, C260*Jahreszins/ZahlungenProJahr, 0)</f>
        <v>0</v>
      </c>
      <c r="F260" s="11">
        <f>IF(C260&gt;0.01, D260-E260, 0)</f>
        <v>0</v>
      </c>
      <c r="G260" s="12"/>
      <c r="H260" s="11">
        <f>SUM(F260,G260)</f>
        <v>0</v>
      </c>
      <c r="I260" s="11">
        <f>C260-H260</f>
        <v>0</v>
      </c>
    </row>
    <row r="261" spans="1:9">
      <c r="A261">
        <f>IF(C261&gt;0.01, 260, "")</f>
        <v>0</v>
      </c>
      <c r="B261" s="10">
        <f>IF(C261&gt;0.01,EDATE(B260,12/ZahlungenProJahr),"")</f>
        <v>0</v>
      </c>
      <c r="C261" s="11">
        <f>I260</f>
        <v>0</v>
      </c>
      <c r="D261" s="11">
        <f>IF(C261&gt;0.01, MIN(Rate, C261*(1+Jahreszins/ZahlungenProJahr)), 0)</f>
        <v>0</v>
      </c>
      <c r="E261" s="11">
        <f>IF(C261&gt;0.01, C261*Jahreszins/ZahlungenProJahr, 0)</f>
        <v>0</v>
      </c>
      <c r="F261" s="11">
        <f>IF(C261&gt;0.01, D261-E261, 0)</f>
        <v>0</v>
      </c>
      <c r="G261" s="12"/>
      <c r="H261" s="11">
        <f>SUM(F261,G261)</f>
        <v>0</v>
      </c>
      <c r="I261" s="11">
        <f>C261-H261</f>
        <v>0</v>
      </c>
    </row>
    <row r="262" spans="1:9">
      <c r="A262">
        <f>IF(C262&gt;0.01, 261, "")</f>
        <v>0</v>
      </c>
      <c r="B262" s="10">
        <f>IF(C262&gt;0.01,EDATE(B261,12/ZahlungenProJahr),"")</f>
        <v>0</v>
      </c>
      <c r="C262" s="11">
        <f>I261</f>
        <v>0</v>
      </c>
      <c r="D262" s="11">
        <f>IF(C262&gt;0.01, MIN(Rate, C262*(1+Jahreszins/ZahlungenProJahr)), 0)</f>
        <v>0</v>
      </c>
      <c r="E262" s="11">
        <f>IF(C262&gt;0.01, C262*Jahreszins/ZahlungenProJahr, 0)</f>
        <v>0</v>
      </c>
      <c r="F262" s="11">
        <f>IF(C262&gt;0.01, D262-E262, 0)</f>
        <v>0</v>
      </c>
      <c r="G262" s="12"/>
      <c r="H262" s="11">
        <f>SUM(F262,G262)</f>
        <v>0</v>
      </c>
      <c r="I262" s="11">
        <f>C262-H262</f>
        <v>0</v>
      </c>
    </row>
    <row r="263" spans="1:9">
      <c r="A263">
        <f>IF(C263&gt;0.01, 262, "")</f>
        <v>0</v>
      </c>
      <c r="B263" s="10">
        <f>IF(C263&gt;0.01,EDATE(B262,12/ZahlungenProJahr),"")</f>
        <v>0</v>
      </c>
      <c r="C263" s="11">
        <f>I262</f>
        <v>0</v>
      </c>
      <c r="D263" s="11">
        <f>IF(C263&gt;0.01, MIN(Rate, C263*(1+Jahreszins/ZahlungenProJahr)), 0)</f>
        <v>0</v>
      </c>
      <c r="E263" s="11">
        <f>IF(C263&gt;0.01, C263*Jahreszins/ZahlungenProJahr, 0)</f>
        <v>0</v>
      </c>
      <c r="F263" s="11">
        <f>IF(C263&gt;0.01, D263-E263, 0)</f>
        <v>0</v>
      </c>
      <c r="G263" s="12"/>
      <c r="H263" s="11">
        <f>SUM(F263,G263)</f>
        <v>0</v>
      </c>
      <c r="I263" s="11">
        <f>C263-H263</f>
        <v>0</v>
      </c>
    </row>
    <row r="264" spans="1:9">
      <c r="A264">
        <f>IF(C264&gt;0.01, 263, "")</f>
        <v>0</v>
      </c>
      <c r="B264" s="10">
        <f>IF(C264&gt;0.01,EDATE(B263,12/ZahlungenProJahr),"")</f>
        <v>0</v>
      </c>
      <c r="C264" s="11">
        <f>I263</f>
        <v>0</v>
      </c>
      <c r="D264" s="11">
        <f>IF(C264&gt;0.01, MIN(Rate, C264*(1+Jahreszins/ZahlungenProJahr)), 0)</f>
        <v>0</v>
      </c>
      <c r="E264" s="11">
        <f>IF(C264&gt;0.01, C264*Jahreszins/ZahlungenProJahr, 0)</f>
        <v>0</v>
      </c>
      <c r="F264" s="11">
        <f>IF(C264&gt;0.01, D264-E264, 0)</f>
        <v>0</v>
      </c>
      <c r="G264" s="12"/>
      <c r="H264" s="11">
        <f>SUM(F264,G264)</f>
        <v>0</v>
      </c>
      <c r="I264" s="11">
        <f>C264-H264</f>
        <v>0</v>
      </c>
    </row>
    <row r="265" spans="1:9">
      <c r="A265">
        <f>IF(C265&gt;0.01, 264, "")</f>
        <v>0</v>
      </c>
      <c r="B265" s="10">
        <f>IF(C265&gt;0.01,EDATE(B264,12/ZahlungenProJahr),"")</f>
        <v>0</v>
      </c>
      <c r="C265" s="11">
        <f>I264</f>
        <v>0</v>
      </c>
      <c r="D265" s="11">
        <f>IF(C265&gt;0.01, MIN(Rate, C265*(1+Jahreszins/ZahlungenProJahr)), 0)</f>
        <v>0</v>
      </c>
      <c r="E265" s="11">
        <f>IF(C265&gt;0.01, C265*Jahreszins/ZahlungenProJahr, 0)</f>
        <v>0</v>
      </c>
      <c r="F265" s="11">
        <f>IF(C265&gt;0.01, D265-E265, 0)</f>
        <v>0</v>
      </c>
      <c r="G265" s="12"/>
      <c r="H265" s="11">
        <f>SUM(F265,G265)</f>
        <v>0</v>
      </c>
      <c r="I265" s="11">
        <f>C265-H265</f>
        <v>0</v>
      </c>
    </row>
    <row r="266" spans="1:9">
      <c r="A266">
        <f>IF(C266&gt;0.01, 265, "")</f>
        <v>0</v>
      </c>
      <c r="B266" s="10">
        <f>IF(C266&gt;0.01,EDATE(B265,12/ZahlungenProJahr),"")</f>
        <v>0</v>
      </c>
      <c r="C266" s="11">
        <f>I265</f>
        <v>0</v>
      </c>
      <c r="D266" s="11">
        <f>IF(C266&gt;0.01, MIN(Rate, C266*(1+Jahreszins/ZahlungenProJahr)), 0)</f>
        <v>0</v>
      </c>
      <c r="E266" s="11">
        <f>IF(C266&gt;0.01, C266*Jahreszins/ZahlungenProJahr, 0)</f>
        <v>0</v>
      </c>
      <c r="F266" s="11">
        <f>IF(C266&gt;0.01, D266-E266, 0)</f>
        <v>0</v>
      </c>
      <c r="G266" s="12"/>
      <c r="H266" s="11">
        <f>SUM(F266,G266)</f>
        <v>0</v>
      </c>
      <c r="I266" s="11">
        <f>C266-H266</f>
        <v>0</v>
      </c>
    </row>
    <row r="267" spans="1:9">
      <c r="A267">
        <f>IF(C267&gt;0.01, 266, "")</f>
        <v>0</v>
      </c>
      <c r="B267" s="10">
        <f>IF(C267&gt;0.01,EDATE(B266,12/ZahlungenProJahr),"")</f>
        <v>0</v>
      </c>
      <c r="C267" s="11">
        <f>I266</f>
        <v>0</v>
      </c>
      <c r="D267" s="11">
        <f>IF(C267&gt;0.01, MIN(Rate, C267*(1+Jahreszins/ZahlungenProJahr)), 0)</f>
        <v>0</v>
      </c>
      <c r="E267" s="11">
        <f>IF(C267&gt;0.01, C267*Jahreszins/ZahlungenProJahr, 0)</f>
        <v>0</v>
      </c>
      <c r="F267" s="11">
        <f>IF(C267&gt;0.01, D267-E267, 0)</f>
        <v>0</v>
      </c>
      <c r="G267" s="12"/>
      <c r="H267" s="11">
        <f>SUM(F267,G267)</f>
        <v>0</v>
      </c>
      <c r="I267" s="11">
        <f>C267-H267</f>
        <v>0</v>
      </c>
    </row>
    <row r="268" spans="1:9">
      <c r="A268">
        <f>IF(C268&gt;0.01, 267, "")</f>
        <v>0</v>
      </c>
      <c r="B268" s="10">
        <f>IF(C268&gt;0.01,EDATE(B267,12/ZahlungenProJahr),"")</f>
        <v>0</v>
      </c>
      <c r="C268" s="11">
        <f>I267</f>
        <v>0</v>
      </c>
      <c r="D268" s="11">
        <f>IF(C268&gt;0.01, MIN(Rate, C268*(1+Jahreszins/ZahlungenProJahr)), 0)</f>
        <v>0</v>
      </c>
      <c r="E268" s="11">
        <f>IF(C268&gt;0.01, C268*Jahreszins/ZahlungenProJahr, 0)</f>
        <v>0</v>
      </c>
      <c r="F268" s="11">
        <f>IF(C268&gt;0.01, D268-E268, 0)</f>
        <v>0</v>
      </c>
      <c r="G268" s="12"/>
      <c r="H268" s="11">
        <f>SUM(F268,G268)</f>
        <v>0</v>
      </c>
      <c r="I268" s="11">
        <f>C268-H268</f>
        <v>0</v>
      </c>
    </row>
    <row r="269" spans="1:9">
      <c r="A269">
        <f>IF(C269&gt;0.01, 268, "")</f>
        <v>0</v>
      </c>
      <c r="B269" s="10">
        <f>IF(C269&gt;0.01,EDATE(B268,12/ZahlungenProJahr),"")</f>
        <v>0</v>
      </c>
      <c r="C269" s="11">
        <f>I268</f>
        <v>0</v>
      </c>
      <c r="D269" s="11">
        <f>IF(C269&gt;0.01, MIN(Rate, C269*(1+Jahreszins/ZahlungenProJahr)), 0)</f>
        <v>0</v>
      </c>
      <c r="E269" s="11">
        <f>IF(C269&gt;0.01, C269*Jahreszins/ZahlungenProJahr, 0)</f>
        <v>0</v>
      </c>
      <c r="F269" s="11">
        <f>IF(C269&gt;0.01, D269-E269, 0)</f>
        <v>0</v>
      </c>
      <c r="G269" s="12"/>
      <c r="H269" s="11">
        <f>SUM(F269,G269)</f>
        <v>0</v>
      </c>
      <c r="I269" s="11">
        <f>C269-H269</f>
        <v>0</v>
      </c>
    </row>
    <row r="270" spans="1:9">
      <c r="A270">
        <f>IF(C270&gt;0.01, 269, "")</f>
        <v>0</v>
      </c>
      <c r="B270" s="10">
        <f>IF(C270&gt;0.01,EDATE(B269,12/ZahlungenProJahr),"")</f>
        <v>0</v>
      </c>
      <c r="C270" s="11">
        <f>I269</f>
        <v>0</v>
      </c>
      <c r="D270" s="11">
        <f>IF(C270&gt;0.01, MIN(Rate, C270*(1+Jahreszins/ZahlungenProJahr)), 0)</f>
        <v>0</v>
      </c>
      <c r="E270" s="11">
        <f>IF(C270&gt;0.01, C270*Jahreszins/ZahlungenProJahr, 0)</f>
        <v>0</v>
      </c>
      <c r="F270" s="11">
        <f>IF(C270&gt;0.01, D270-E270, 0)</f>
        <v>0</v>
      </c>
      <c r="G270" s="12"/>
      <c r="H270" s="11">
        <f>SUM(F270,G270)</f>
        <v>0</v>
      </c>
      <c r="I270" s="11">
        <f>C270-H270</f>
        <v>0</v>
      </c>
    </row>
    <row r="271" spans="1:9">
      <c r="A271">
        <f>IF(C271&gt;0.01, 270, "")</f>
        <v>0</v>
      </c>
      <c r="B271" s="10">
        <f>IF(C271&gt;0.01,EDATE(B270,12/ZahlungenProJahr),"")</f>
        <v>0</v>
      </c>
      <c r="C271" s="11">
        <f>I270</f>
        <v>0</v>
      </c>
      <c r="D271" s="11">
        <f>IF(C271&gt;0.01, MIN(Rate, C271*(1+Jahreszins/ZahlungenProJahr)), 0)</f>
        <v>0</v>
      </c>
      <c r="E271" s="11">
        <f>IF(C271&gt;0.01, C271*Jahreszins/ZahlungenProJahr, 0)</f>
        <v>0</v>
      </c>
      <c r="F271" s="11">
        <f>IF(C271&gt;0.01, D271-E271, 0)</f>
        <v>0</v>
      </c>
      <c r="G271" s="12"/>
      <c r="H271" s="11">
        <f>SUM(F271,G271)</f>
        <v>0</v>
      </c>
      <c r="I271" s="11">
        <f>C271-H271</f>
        <v>0</v>
      </c>
    </row>
    <row r="272" spans="1:9">
      <c r="A272">
        <f>IF(C272&gt;0.01, 271, "")</f>
        <v>0</v>
      </c>
      <c r="B272" s="10">
        <f>IF(C272&gt;0.01,EDATE(B271,12/ZahlungenProJahr),"")</f>
        <v>0</v>
      </c>
      <c r="C272" s="11">
        <f>I271</f>
        <v>0</v>
      </c>
      <c r="D272" s="11">
        <f>IF(C272&gt;0.01, MIN(Rate, C272*(1+Jahreszins/ZahlungenProJahr)), 0)</f>
        <v>0</v>
      </c>
      <c r="E272" s="11">
        <f>IF(C272&gt;0.01, C272*Jahreszins/ZahlungenProJahr, 0)</f>
        <v>0</v>
      </c>
      <c r="F272" s="11">
        <f>IF(C272&gt;0.01, D272-E272, 0)</f>
        <v>0</v>
      </c>
      <c r="G272" s="12"/>
      <c r="H272" s="11">
        <f>SUM(F272,G272)</f>
        <v>0</v>
      </c>
      <c r="I272" s="11">
        <f>C272-H272</f>
        <v>0</v>
      </c>
    </row>
    <row r="273" spans="1:9">
      <c r="A273">
        <f>IF(C273&gt;0.01, 272, "")</f>
        <v>0</v>
      </c>
      <c r="B273" s="10">
        <f>IF(C273&gt;0.01,EDATE(B272,12/ZahlungenProJahr),"")</f>
        <v>0</v>
      </c>
      <c r="C273" s="11">
        <f>I272</f>
        <v>0</v>
      </c>
      <c r="D273" s="11">
        <f>IF(C273&gt;0.01, MIN(Rate, C273*(1+Jahreszins/ZahlungenProJahr)), 0)</f>
        <v>0</v>
      </c>
      <c r="E273" s="11">
        <f>IF(C273&gt;0.01, C273*Jahreszins/ZahlungenProJahr, 0)</f>
        <v>0</v>
      </c>
      <c r="F273" s="11">
        <f>IF(C273&gt;0.01, D273-E273, 0)</f>
        <v>0</v>
      </c>
      <c r="G273" s="12"/>
      <c r="H273" s="11">
        <f>SUM(F273,G273)</f>
        <v>0</v>
      </c>
      <c r="I273" s="11">
        <f>C273-H273</f>
        <v>0</v>
      </c>
    </row>
    <row r="274" spans="1:9">
      <c r="A274">
        <f>IF(C274&gt;0.01, 273, "")</f>
        <v>0</v>
      </c>
      <c r="B274" s="10">
        <f>IF(C274&gt;0.01,EDATE(B273,12/ZahlungenProJahr),"")</f>
        <v>0</v>
      </c>
      <c r="C274" s="11">
        <f>I273</f>
        <v>0</v>
      </c>
      <c r="D274" s="11">
        <f>IF(C274&gt;0.01, MIN(Rate, C274*(1+Jahreszins/ZahlungenProJahr)), 0)</f>
        <v>0</v>
      </c>
      <c r="E274" s="11">
        <f>IF(C274&gt;0.01, C274*Jahreszins/ZahlungenProJahr, 0)</f>
        <v>0</v>
      </c>
      <c r="F274" s="11">
        <f>IF(C274&gt;0.01, D274-E274, 0)</f>
        <v>0</v>
      </c>
      <c r="G274" s="12"/>
      <c r="H274" s="11">
        <f>SUM(F274,G274)</f>
        <v>0</v>
      </c>
      <c r="I274" s="11">
        <f>C274-H274</f>
        <v>0</v>
      </c>
    </row>
    <row r="275" spans="1:9">
      <c r="A275">
        <f>IF(C275&gt;0.01, 274, "")</f>
        <v>0</v>
      </c>
      <c r="B275" s="10">
        <f>IF(C275&gt;0.01,EDATE(B274,12/ZahlungenProJahr),"")</f>
        <v>0</v>
      </c>
      <c r="C275" s="11">
        <f>I274</f>
        <v>0</v>
      </c>
      <c r="D275" s="11">
        <f>IF(C275&gt;0.01, MIN(Rate, C275*(1+Jahreszins/ZahlungenProJahr)), 0)</f>
        <v>0</v>
      </c>
      <c r="E275" s="11">
        <f>IF(C275&gt;0.01, C275*Jahreszins/ZahlungenProJahr, 0)</f>
        <v>0</v>
      </c>
      <c r="F275" s="11">
        <f>IF(C275&gt;0.01, D275-E275, 0)</f>
        <v>0</v>
      </c>
      <c r="G275" s="12"/>
      <c r="H275" s="11">
        <f>SUM(F275,G275)</f>
        <v>0</v>
      </c>
      <c r="I275" s="11">
        <f>C275-H275</f>
        <v>0</v>
      </c>
    </row>
    <row r="276" spans="1:9">
      <c r="A276">
        <f>IF(C276&gt;0.01, 275, "")</f>
        <v>0</v>
      </c>
      <c r="B276" s="10">
        <f>IF(C276&gt;0.01,EDATE(B275,12/ZahlungenProJahr),"")</f>
        <v>0</v>
      </c>
      <c r="C276" s="11">
        <f>I275</f>
        <v>0</v>
      </c>
      <c r="D276" s="11">
        <f>IF(C276&gt;0.01, MIN(Rate, C276*(1+Jahreszins/ZahlungenProJahr)), 0)</f>
        <v>0</v>
      </c>
      <c r="E276" s="11">
        <f>IF(C276&gt;0.01, C276*Jahreszins/ZahlungenProJahr, 0)</f>
        <v>0</v>
      </c>
      <c r="F276" s="11">
        <f>IF(C276&gt;0.01, D276-E276, 0)</f>
        <v>0</v>
      </c>
      <c r="G276" s="12"/>
      <c r="H276" s="11">
        <f>SUM(F276,G276)</f>
        <v>0</v>
      </c>
      <c r="I276" s="11">
        <f>C276-H276</f>
        <v>0</v>
      </c>
    </row>
    <row r="277" spans="1:9">
      <c r="A277">
        <f>IF(C277&gt;0.01, 276, "")</f>
        <v>0</v>
      </c>
      <c r="B277" s="10">
        <f>IF(C277&gt;0.01,EDATE(B276,12/ZahlungenProJahr),"")</f>
        <v>0</v>
      </c>
      <c r="C277" s="11">
        <f>I276</f>
        <v>0</v>
      </c>
      <c r="D277" s="11">
        <f>IF(C277&gt;0.01, MIN(Rate, C277*(1+Jahreszins/ZahlungenProJahr)), 0)</f>
        <v>0</v>
      </c>
      <c r="E277" s="11">
        <f>IF(C277&gt;0.01, C277*Jahreszins/ZahlungenProJahr, 0)</f>
        <v>0</v>
      </c>
      <c r="F277" s="11">
        <f>IF(C277&gt;0.01, D277-E277, 0)</f>
        <v>0</v>
      </c>
      <c r="G277" s="12"/>
      <c r="H277" s="11">
        <f>SUM(F277,G277)</f>
        <v>0</v>
      </c>
      <c r="I277" s="11">
        <f>C277-H277</f>
        <v>0</v>
      </c>
    </row>
    <row r="278" spans="1:9">
      <c r="A278">
        <f>IF(C278&gt;0.01, 277, "")</f>
        <v>0</v>
      </c>
      <c r="B278" s="10">
        <f>IF(C278&gt;0.01,EDATE(B277,12/ZahlungenProJahr),"")</f>
        <v>0</v>
      </c>
      <c r="C278" s="11">
        <f>I277</f>
        <v>0</v>
      </c>
      <c r="D278" s="11">
        <f>IF(C278&gt;0.01, MIN(Rate, C278*(1+Jahreszins/ZahlungenProJahr)), 0)</f>
        <v>0</v>
      </c>
      <c r="E278" s="11">
        <f>IF(C278&gt;0.01, C278*Jahreszins/ZahlungenProJahr, 0)</f>
        <v>0</v>
      </c>
      <c r="F278" s="11">
        <f>IF(C278&gt;0.01, D278-E278, 0)</f>
        <v>0</v>
      </c>
      <c r="G278" s="12"/>
      <c r="H278" s="11">
        <f>SUM(F278,G278)</f>
        <v>0</v>
      </c>
      <c r="I278" s="11">
        <f>C278-H278</f>
        <v>0</v>
      </c>
    </row>
    <row r="279" spans="1:9">
      <c r="A279">
        <f>IF(C279&gt;0.01, 278, "")</f>
        <v>0</v>
      </c>
      <c r="B279" s="10">
        <f>IF(C279&gt;0.01,EDATE(B278,12/ZahlungenProJahr),"")</f>
        <v>0</v>
      </c>
      <c r="C279" s="11">
        <f>I278</f>
        <v>0</v>
      </c>
      <c r="D279" s="11">
        <f>IF(C279&gt;0.01, MIN(Rate, C279*(1+Jahreszins/ZahlungenProJahr)), 0)</f>
        <v>0</v>
      </c>
      <c r="E279" s="11">
        <f>IF(C279&gt;0.01, C279*Jahreszins/ZahlungenProJahr, 0)</f>
        <v>0</v>
      </c>
      <c r="F279" s="11">
        <f>IF(C279&gt;0.01, D279-E279, 0)</f>
        <v>0</v>
      </c>
      <c r="G279" s="12"/>
      <c r="H279" s="11">
        <f>SUM(F279,G279)</f>
        <v>0</v>
      </c>
      <c r="I279" s="11">
        <f>C279-H279</f>
        <v>0</v>
      </c>
    </row>
    <row r="280" spans="1:9">
      <c r="A280">
        <f>IF(C280&gt;0.01, 279, "")</f>
        <v>0</v>
      </c>
      <c r="B280" s="10">
        <f>IF(C280&gt;0.01,EDATE(B279,12/ZahlungenProJahr),"")</f>
        <v>0</v>
      </c>
      <c r="C280" s="11">
        <f>I279</f>
        <v>0</v>
      </c>
      <c r="D280" s="11">
        <f>IF(C280&gt;0.01, MIN(Rate, C280*(1+Jahreszins/ZahlungenProJahr)), 0)</f>
        <v>0</v>
      </c>
      <c r="E280" s="11">
        <f>IF(C280&gt;0.01, C280*Jahreszins/ZahlungenProJahr, 0)</f>
        <v>0</v>
      </c>
      <c r="F280" s="11">
        <f>IF(C280&gt;0.01, D280-E280, 0)</f>
        <v>0</v>
      </c>
      <c r="G280" s="12"/>
      <c r="H280" s="11">
        <f>SUM(F280,G280)</f>
        <v>0</v>
      </c>
      <c r="I280" s="11">
        <f>C280-H280</f>
        <v>0</v>
      </c>
    </row>
    <row r="281" spans="1:9">
      <c r="A281">
        <f>IF(C281&gt;0.01, 280, "")</f>
        <v>0</v>
      </c>
      <c r="B281" s="10">
        <f>IF(C281&gt;0.01,EDATE(B280,12/ZahlungenProJahr),"")</f>
        <v>0</v>
      </c>
      <c r="C281" s="11">
        <f>I280</f>
        <v>0</v>
      </c>
      <c r="D281" s="11">
        <f>IF(C281&gt;0.01, MIN(Rate, C281*(1+Jahreszins/ZahlungenProJahr)), 0)</f>
        <v>0</v>
      </c>
      <c r="E281" s="11">
        <f>IF(C281&gt;0.01, C281*Jahreszins/ZahlungenProJahr, 0)</f>
        <v>0</v>
      </c>
      <c r="F281" s="11">
        <f>IF(C281&gt;0.01, D281-E281, 0)</f>
        <v>0</v>
      </c>
      <c r="G281" s="12"/>
      <c r="H281" s="11">
        <f>SUM(F281,G281)</f>
        <v>0</v>
      </c>
      <c r="I281" s="11">
        <f>C281-H281</f>
        <v>0</v>
      </c>
    </row>
    <row r="282" spans="1:9">
      <c r="A282">
        <f>IF(C282&gt;0.01, 281, "")</f>
        <v>0</v>
      </c>
      <c r="B282" s="10">
        <f>IF(C282&gt;0.01,EDATE(B281,12/ZahlungenProJahr),"")</f>
        <v>0</v>
      </c>
      <c r="C282" s="11">
        <f>I281</f>
        <v>0</v>
      </c>
      <c r="D282" s="11">
        <f>IF(C282&gt;0.01, MIN(Rate, C282*(1+Jahreszins/ZahlungenProJahr)), 0)</f>
        <v>0</v>
      </c>
      <c r="E282" s="11">
        <f>IF(C282&gt;0.01, C282*Jahreszins/ZahlungenProJahr, 0)</f>
        <v>0</v>
      </c>
      <c r="F282" s="11">
        <f>IF(C282&gt;0.01, D282-E282, 0)</f>
        <v>0</v>
      </c>
      <c r="G282" s="12"/>
      <c r="H282" s="11">
        <f>SUM(F282,G282)</f>
        <v>0</v>
      </c>
      <c r="I282" s="11">
        <f>C282-H282</f>
        <v>0</v>
      </c>
    </row>
    <row r="283" spans="1:9">
      <c r="A283">
        <f>IF(C283&gt;0.01, 282, "")</f>
        <v>0</v>
      </c>
      <c r="B283" s="10">
        <f>IF(C283&gt;0.01,EDATE(B282,12/ZahlungenProJahr),"")</f>
        <v>0</v>
      </c>
      <c r="C283" s="11">
        <f>I282</f>
        <v>0</v>
      </c>
      <c r="D283" s="11">
        <f>IF(C283&gt;0.01, MIN(Rate, C283*(1+Jahreszins/ZahlungenProJahr)), 0)</f>
        <v>0</v>
      </c>
      <c r="E283" s="11">
        <f>IF(C283&gt;0.01, C283*Jahreszins/ZahlungenProJahr, 0)</f>
        <v>0</v>
      </c>
      <c r="F283" s="11">
        <f>IF(C283&gt;0.01, D283-E283, 0)</f>
        <v>0</v>
      </c>
      <c r="G283" s="12"/>
      <c r="H283" s="11">
        <f>SUM(F283,G283)</f>
        <v>0</v>
      </c>
      <c r="I283" s="11">
        <f>C283-H283</f>
        <v>0</v>
      </c>
    </row>
    <row r="284" spans="1:9">
      <c r="A284">
        <f>IF(C284&gt;0.01, 283, "")</f>
        <v>0</v>
      </c>
      <c r="B284" s="10">
        <f>IF(C284&gt;0.01,EDATE(B283,12/ZahlungenProJahr),"")</f>
        <v>0</v>
      </c>
      <c r="C284" s="11">
        <f>I283</f>
        <v>0</v>
      </c>
      <c r="D284" s="11">
        <f>IF(C284&gt;0.01, MIN(Rate, C284*(1+Jahreszins/ZahlungenProJahr)), 0)</f>
        <v>0</v>
      </c>
      <c r="E284" s="11">
        <f>IF(C284&gt;0.01, C284*Jahreszins/ZahlungenProJahr, 0)</f>
        <v>0</v>
      </c>
      <c r="F284" s="11">
        <f>IF(C284&gt;0.01, D284-E284, 0)</f>
        <v>0</v>
      </c>
      <c r="G284" s="12"/>
      <c r="H284" s="11">
        <f>SUM(F284,G284)</f>
        <v>0</v>
      </c>
      <c r="I284" s="11">
        <f>C284-H284</f>
        <v>0</v>
      </c>
    </row>
    <row r="285" spans="1:9">
      <c r="A285">
        <f>IF(C285&gt;0.01, 284, "")</f>
        <v>0</v>
      </c>
      <c r="B285" s="10">
        <f>IF(C285&gt;0.01,EDATE(B284,12/ZahlungenProJahr),"")</f>
        <v>0</v>
      </c>
      <c r="C285" s="11">
        <f>I284</f>
        <v>0</v>
      </c>
      <c r="D285" s="11">
        <f>IF(C285&gt;0.01, MIN(Rate, C285*(1+Jahreszins/ZahlungenProJahr)), 0)</f>
        <v>0</v>
      </c>
      <c r="E285" s="11">
        <f>IF(C285&gt;0.01, C285*Jahreszins/ZahlungenProJahr, 0)</f>
        <v>0</v>
      </c>
      <c r="F285" s="11">
        <f>IF(C285&gt;0.01, D285-E285, 0)</f>
        <v>0</v>
      </c>
      <c r="G285" s="12"/>
      <c r="H285" s="11">
        <f>SUM(F285,G285)</f>
        <v>0</v>
      </c>
      <c r="I285" s="11">
        <f>C285-H285</f>
        <v>0</v>
      </c>
    </row>
    <row r="286" spans="1:9">
      <c r="A286">
        <f>IF(C286&gt;0.01, 285, "")</f>
        <v>0</v>
      </c>
      <c r="B286" s="10">
        <f>IF(C286&gt;0.01,EDATE(B285,12/ZahlungenProJahr),"")</f>
        <v>0</v>
      </c>
      <c r="C286" s="11">
        <f>I285</f>
        <v>0</v>
      </c>
      <c r="D286" s="11">
        <f>IF(C286&gt;0.01, MIN(Rate, C286*(1+Jahreszins/ZahlungenProJahr)), 0)</f>
        <v>0</v>
      </c>
      <c r="E286" s="11">
        <f>IF(C286&gt;0.01, C286*Jahreszins/ZahlungenProJahr, 0)</f>
        <v>0</v>
      </c>
      <c r="F286" s="11">
        <f>IF(C286&gt;0.01, D286-E286, 0)</f>
        <v>0</v>
      </c>
      <c r="G286" s="12"/>
      <c r="H286" s="11">
        <f>SUM(F286,G286)</f>
        <v>0</v>
      </c>
      <c r="I286" s="11">
        <f>C286-H286</f>
        <v>0</v>
      </c>
    </row>
    <row r="287" spans="1:9">
      <c r="A287">
        <f>IF(C287&gt;0.01, 286, "")</f>
        <v>0</v>
      </c>
      <c r="B287" s="10">
        <f>IF(C287&gt;0.01,EDATE(B286,12/ZahlungenProJahr),"")</f>
        <v>0</v>
      </c>
      <c r="C287" s="11">
        <f>I286</f>
        <v>0</v>
      </c>
      <c r="D287" s="11">
        <f>IF(C287&gt;0.01, MIN(Rate, C287*(1+Jahreszins/ZahlungenProJahr)), 0)</f>
        <v>0</v>
      </c>
      <c r="E287" s="11">
        <f>IF(C287&gt;0.01, C287*Jahreszins/ZahlungenProJahr, 0)</f>
        <v>0</v>
      </c>
      <c r="F287" s="11">
        <f>IF(C287&gt;0.01, D287-E287, 0)</f>
        <v>0</v>
      </c>
      <c r="G287" s="12"/>
      <c r="H287" s="11">
        <f>SUM(F287,G287)</f>
        <v>0</v>
      </c>
      <c r="I287" s="11">
        <f>C287-H287</f>
        <v>0</v>
      </c>
    </row>
    <row r="288" spans="1:9">
      <c r="A288">
        <f>IF(C288&gt;0.01, 287, "")</f>
        <v>0</v>
      </c>
      <c r="B288" s="10">
        <f>IF(C288&gt;0.01,EDATE(B287,12/ZahlungenProJahr),"")</f>
        <v>0</v>
      </c>
      <c r="C288" s="11">
        <f>I287</f>
        <v>0</v>
      </c>
      <c r="D288" s="11">
        <f>IF(C288&gt;0.01, MIN(Rate, C288*(1+Jahreszins/ZahlungenProJahr)), 0)</f>
        <v>0</v>
      </c>
      <c r="E288" s="11">
        <f>IF(C288&gt;0.01, C288*Jahreszins/ZahlungenProJahr, 0)</f>
        <v>0</v>
      </c>
      <c r="F288" s="11">
        <f>IF(C288&gt;0.01, D288-E288, 0)</f>
        <v>0</v>
      </c>
      <c r="G288" s="12"/>
      <c r="H288" s="11">
        <f>SUM(F288,G288)</f>
        <v>0</v>
      </c>
      <c r="I288" s="11">
        <f>C288-H288</f>
        <v>0</v>
      </c>
    </row>
    <row r="289" spans="1:9">
      <c r="A289">
        <f>IF(C289&gt;0.01, 288, "")</f>
        <v>0</v>
      </c>
      <c r="B289" s="10">
        <f>IF(C289&gt;0.01,EDATE(B288,12/ZahlungenProJahr),"")</f>
        <v>0</v>
      </c>
      <c r="C289" s="11">
        <f>I288</f>
        <v>0</v>
      </c>
      <c r="D289" s="11">
        <f>IF(C289&gt;0.01, MIN(Rate, C289*(1+Jahreszins/ZahlungenProJahr)), 0)</f>
        <v>0</v>
      </c>
      <c r="E289" s="11">
        <f>IF(C289&gt;0.01, C289*Jahreszins/ZahlungenProJahr, 0)</f>
        <v>0</v>
      </c>
      <c r="F289" s="11">
        <f>IF(C289&gt;0.01, D289-E289, 0)</f>
        <v>0</v>
      </c>
      <c r="G289" s="12"/>
      <c r="H289" s="11">
        <f>SUM(F289,G289)</f>
        <v>0</v>
      </c>
      <c r="I289" s="11">
        <f>C289-H289</f>
        <v>0</v>
      </c>
    </row>
    <row r="290" spans="1:9">
      <c r="A290">
        <f>IF(C290&gt;0.01, 289, "")</f>
        <v>0</v>
      </c>
      <c r="B290" s="10">
        <f>IF(C290&gt;0.01,EDATE(B289,12/ZahlungenProJahr),"")</f>
        <v>0</v>
      </c>
      <c r="C290" s="11">
        <f>I289</f>
        <v>0</v>
      </c>
      <c r="D290" s="11">
        <f>IF(C290&gt;0.01, MIN(Rate, C290*(1+Jahreszins/ZahlungenProJahr)), 0)</f>
        <v>0</v>
      </c>
      <c r="E290" s="11">
        <f>IF(C290&gt;0.01, C290*Jahreszins/ZahlungenProJahr, 0)</f>
        <v>0</v>
      </c>
      <c r="F290" s="11">
        <f>IF(C290&gt;0.01, D290-E290, 0)</f>
        <v>0</v>
      </c>
      <c r="G290" s="12"/>
      <c r="H290" s="11">
        <f>SUM(F290,G290)</f>
        <v>0</v>
      </c>
      <c r="I290" s="11">
        <f>C290-H290</f>
        <v>0</v>
      </c>
    </row>
    <row r="291" spans="1:9">
      <c r="A291">
        <f>IF(C291&gt;0.01, 290, "")</f>
        <v>0</v>
      </c>
      <c r="B291" s="10">
        <f>IF(C291&gt;0.01,EDATE(B290,12/ZahlungenProJahr),"")</f>
        <v>0</v>
      </c>
      <c r="C291" s="11">
        <f>I290</f>
        <v>0</v>
      </c>
      <c r="D291" s="11">
        <f>IF(C291&gt;0.01, MIN(Rate, C291*(1+Jahreszins/ZahlungenProJahr)), 0)</f>
        <v>0</v>
      </c>
      <c r="E291" s="11">
        <f>IF(C291&gt;0.01, C291*Jahreszins/ZahlungenProJahr, 0)</f>
        <v>0</v>
      </c>
      <c r="F291" s="11">
        <f>IF(C291&gt;0.01, D291-E291, 0)</f>
        <v>0</v>
      </c>
      <c r="G291" s="12"/>
      <c r="H291" s="11">
        <f>SUM(F291,G291)</f>
        <v>0</v>
      </c>
      <c r="I291" s="11">
        <f>C291-H291</f>
        <v>0</v>
      </c>
    </row>
    <row r="292" spans="1:9">
      <c r="A292">
        <f>IF(C292&gt;0.01, 291, "")</f>
        <v>0</v>
      </c>
      <c r="B292" s="10">
        <f>IF(C292&gt;0.01,EDATE(B291,12/ZahlungenProJahr),"")</f>
        <v>0</v>
      </c>
      <c r="C292" s="11">
        <f>I291</f>
        <v>0</v>
      </c>
      <c r="D292" s="11">
        <f>IF(C292&gt;0.01, MIN(Rate, C292*(1+Jahreszins/ZahlungenProJahr)), 0)</f>
        <v>0</v>
      </c>
      <c r="E292" s="11">
        <f>IF(C292&gt;0.01, C292*Jahreszins/ZahlungenProJahr, 0)</f>
        <v>0</v>
      </c>
      <c r="F292" s="11">
        <f>IF(C292&gt;0.01, D292-E292, 0)</f>
        <v>0</v>
      </c>
      <c r="G292" s="12"/>
      <c r="H292" s="11">
        <f>SUM(F292,G292)</f>
        <v>0</v>
      </c>
      <c r="I292" s="11">
        <f>C292-H292</f>
        <v>0</v>
      </c>
    </row>
    <row r="293" spans="1:9">
      <c r="A293">
        <f>IF(C293&gt;0.01, 292, "")</f>
        <v>0</v>
      </c>
      <c r="B293" s="10">
        <f>IF(C293&gt;0.01,EDATE(B292,12/ZahlungenProJahr),"")</f>
        <v>0</v>
      </c>
      <c r="C293" s="11">
        <f>I292</f>
        <v>0</v>
      </c>
      <c r="D293" s="11">
        <f>IF(C293&gt;0.01, MIN(Rate, C293*(1+Jahreszins/ZahlungenProJahr)), 0)</f>
        <v>0</v>
      </c>
      <c r="E293" s="11">
        <f>IF(C293&gt;0.01, C293*Jahreszins/ZahlungenProJahr, 0)</f>
        <v>0</v>
      </c>
      <c r="F293" s="11">
        <f>IF(C293&gt;0.01, D293-E293, 0)</f>
        <v>0</v>
      </c>
      <c r="G293" s="12"/>
      <c r="H293" s="11">
        <f>SUM(F293,G293)</f>
        <v>0</v>
      </c>
      <c r="I293" s="11">
        <f>C293-H293</f>
        <v>0</v>
      </c>
    </row>
    <row r="294" spans="1:9">
      <c r="A294">
        <f>IF(C294&gt;0.01, 293, "")</f>
        <v>0</v>
      </c>
      <c r="B294" s="10">
        <f>IF(C294&gt;0.01,EDATE(B293,12/ZahlungenProJahr),"")</f>
        <v>0</v>
      </c>
      <c r="C294" s="11">
        <f>I293</f>
        <v>0</v>
      </c>
      <c r="D294" s="11">
        <f>IF(C294&gt;0.01, MIN(Rate, C294*(1+Jahreszins/ZahlungenProJahr)), 0)</f>
        <v>0</v>
      </c>
      <c r="E294" s="11">
        <f>IF(C294&gt;0.01, C294*Jahreszins/ZahlungenProJahr, 0)</f>
        <v>0</v>
      </c>
      <c r="F294" s="11">
        <f>IF(C294&gt;0.01, D294-E294, 0)</f>
        <v>0</v>
      </c>
      <c r="G294" s="12"/>
      <c r="H294" s="11">
        <f>SUM(F294,G294)</f>
        <v>0</v>
      </c>
      <c r="I294" s="11">
        <f>C294-H294</f>
        <v>0</v>
      </c>
    </row>
    <row r="295" spans="1:9">
      <c r="A295">
        <f>IF(C295&gt;0.01, 294, "")</f>
        <v>0</v>
      </c>
      <c r="B295" s="10">
        <f>IF(C295&gt;0.01,EDATE(B294,12/ZahlungenProJahr),"")</f>
        <v>0</v>
      </c>
      <c r="C295" s="11">
        <f>I294</f>
        <v>0</v>
      </c>
      <c r="D295" s="11">
        <f>IF(C295&gt;0.01, MIN(Rate, C295*(1+Jahreszins/ZahlungenProJahr)), 0)</f>
        <v>0</v>
      </c>
      <c r="E295" s="11">
        <f>IF(C295&gt;0.01, C295*Jahreszins/ZahlungenProJahr, 0)</f>
        <v>0</v>
      </c>
      <c r="F295" s="11">
        <f>IF(C295&gt;0.01, D295-E295, 0)</f>
        <v>0</v>
      </c>
      <c r="G295" s="12"/>
      <c r="H295" s="11">
        <f>SUM(F295,G295)</f>
        <v>0</v>
      </c>
      <c r="I295" s="11">
        <f>C295-H295</f>
        <v>0</v>
      </c>
    </row>
    <row r="296" spans="1:9">
      <c r="A296">
        <f>IF(C296&gt;0.01, 295, "")</f>
        <v>0</v>
      </c>
      <c r="B296" s="10">
        <f>IF(C296&gt;0.01,EDATE(B295,12/ZahlungenProJahr),"")</f>
        <v>0</v>
      </c>
      <c r="C296" s="11">
        <f>I295</f>
        <v>0</v>
      </c>
      <c r="D296" s="11">
        <f>IF(C296&gt;0.01, MIN(Rate, C296*(1+Jahreszins/ZahlungenProJahr)), 0)</f>
        <v>0</v>
      </c>
      <c r="E296" s="11">
        <f>IF(C296&gt;0.01, C296*Jahreszins/ZahlungenProJahr, 0)</f>
        <v>0</v>
      </c>
      <c r="F296" s="11">
        <f>IF(C296&gt;0.01, D296-E296, 0)</f>
        <v>0</v>
      </c>
      <c r="G296" s="12"/>
      <c r="H296" s="11">
        <f>SUM(F296,G296)</f>
        <v>0</v>
      </c>
      <c r="I296" s="11">
        <f>C296-H296</f>
        <v>0</v>
      </c>
    </row>
    <row r="297" spans="1:9">
      <c r="A297">
        <f>IF(C297&gt;0.01, 296, "")</f>
        <v>0</v>
      </c>
      <c r="B297" s="10">
        <f>IF(C297&gt;0.01,EDATE(B296,12/ZahlungenProJahr),"")</f>
        <v>0</v>
      </c>
      <c r="C297" s="11">
        <f>I296</f>
        <v>0</v>
      </c>
      <c r="D297" s="11">
        <f>IF(C297&gt;0.01, MIN(Rate, C297*(1+Jahreszins/ZahlungenProJahr)), 0)</f>
        <v>0</v>
      </c>
      <c r="E297" s="11">
        <f>IF(C297&gt;0.01, C297*Jahreszins/ZahlungenProJahr, 0)</f>
        <v>0</v>
      </c>
      <c r="F297" s="11">
        <f>IF(C297&gt;0.01, D297-E297, 0)</f>
        <v>0</v>
      </c>
      <c r="G297" s="12"/>
      <c r="H297" s="11">
        <f>SUM(F297,G297)</f>
        <v>0</v>
      </c>
      <c r="I297" s="11">
        <f>C297-H297</f>
        <v>0</v>
      </c>
    </row>
    <row r="298" spans="1:9">
      <c r="A298">
        <f>IF(C298&gt;0.01, 297, "")</f>
        <v>0</v>
      </c>
      <c r="B298" s="10">
        <f>IF(C298&gt;0.01,EDATE(B297,12/ZahlungenProJahr),"")</f>
        <v>0</v>
      </c>
      <c r="C298" s="11">
        <f>I297</f>
        <v>0</v>
      </c>
      <c r="D298" s="11">
        <f>IF(C298&gt;0.01, MIN(Rate, C298*(1+Jahreszins/ZahlungenProJahr)), 0)</f>
        <v>0</v>
      </c>
      <c r="E298" s="11">
        <f>IF(C298&gt;0.01, C298*Jahreszins/ZahlungenProJahr, 0)</f>
        <v>0</v>
      </c>
      <c r="F298" s="11">
        <f>IF(C298&gt;0.01, D298-E298, 0)</f>
        <v>0</v>
      </c>
      <c r="G298" s="12"/>
      <c r="H298" s="11">
        <f>SUM(F298,G298)</f>
        <v>0</v>
      </c>
      <c r="I298" s="11">
        <f>C298-H298</f>
        <v>0</v>
      </c>
    </row>
    <row r="299" spans="1:9">
      <c r="A299">
        <f>IF(C299&gt;0.01, 298, "")</f>
        <v>0</v>
      </c>
      <c r="B299" s="10">
        <f>IF(C299&gt;0.01,EDATE(B298,12/ZahlungenProJahr),"")</f>
        <v>0</v>
      </c>
      <c r="C299" s="11">
        <f>I298</f>
        <v>0</v>
      </c>
      <c r="D299" s="11">
        <f>IF(C299&gt;0.01, MIN(Rate, C299*(1+Jahreszins/ZahlungenProJahr)), 0)</f>
        <v>0</v>
      </c>
      <c r="E299" s="11">
        <f>IF(C299&gt;0.01, C299*Jahreszins/ZahlungenProJahr, 0)</f>
        <v>0</v>
      </c>
      <c r="F299" s="11">
        <f>IF(C299&gt;0.01, D299-E299, 0)</f>
        <v>0</v>
      </c>
      <c r="G299" s="12"/>
      <c r="H299" s="11">
        <f>SUM(F299,G299)</f>
        <v>0</v>
      </c>
      <c r="I299" s="11">
        <f>C299-H299</f>
        <v>0</v>
      </c>
    </row>
    <row r="300" spans="1:9">
      <c r="A300">
        <f>IF(C300&gt;0.01, 299, "")</f>
        <v>0</v>
      </c>
      <c r="B300" s="10">
        <f>IF(C300&gt;0.01,EDATE(B299,12/ZahlungenProJahr),"")</f>
        <v>0</v>
      </c>
      <c r="C300" s="11">
        <f>I299</f>
        <v>0</v>
      </c>
      <c r="D300" s="11">
        <f>IF(C300&gt;0.01, MIN(Rate, C300*(1+Jahreszins/ZahlungenProJahr)), 0)</f>
        <v>0</v>
      </c>
      <c r="E300" s="11">
        <f>IF(C300&gt;0.01, C300*Jahreszins/ZahlungenProJahr, 0)</f>
        <v>0</v>
      </c>
      <c r="F300" s="11">
        <f>IF(C300&gt;0.01, D300-E300, 0)</f>
        <v>0</v>
      </c>
      <c r="G300" s="12"/>
      <c r="H300" s="11">
        <f>SUM(F300,G300)</f>
        <v>0</v>
      </c>
      <c r="I300" s="11">
        <f>C300-H300</f>
        <v>0</v>
      </c>
    </row>
    <row r="301" spans="1:9">
      <c r="A301">
        <f>IF(C301&gt;0.01, 300, "")</f>
        <v>0</v>
      </c>
      <c r="B301" s="10">
        <f>IF(C301&gt;0.01,EDATE(B300,12/ZahlungenProJahr),"")</f>
        <v>0</v>
      </c>
      <c r="C301" s="11">
        <f>I300</f>
        <v>0</v>
      </c>
      <c r="D301" s="11">
        <f>IF(C301&gt;0.01, MIN(Rate, C301*(1+Jahreszins/ZahlungenProJahr)), 0)</f>
        <v>0</v>
      </c>
      <c r="E301" s="11">
        <f>IF(C301&gt;0.01, C301*Jahreszins/ZahlungenProJahr, 0)</f>
        <v>0</v>
      </c>
      <c r="F301" s="11">
        <f>IF(C301&gt;0.01, D301-E301, 0)</f>
        <v>0</v>
      </c>
      <c r="G301" s="12"/>
      <c r="H301" s="11">
        <f>SUM(F301,G301)</f>
        <v>0</v>
      </c>
      <c r="I301" s="11">
        <f>C301-H301</f>
        <v>0</v>
      </c>
    </row>
    <row r="302" spans="1:9">
      <c r="A302">
        <f>IF(C302&gt;0.01, 301, "")</f>
        <v>0</v>
      </c>
      <c r="B302" s="10">
        <f>IF(C302&gt;0.01,EDATE(B301,12/ZahlungenProJahr),"")</f>
        <v>0</v>
      </c>
      <c r="C302" s="11">
        <f>I301</f>
        <v>0</v>
      </c>
      <c r="D302" s="11">
        <f>IF(C302&gt;0.01, MIN(Rate, C302*(1+Jahreszins/ZahlungenProJahr)), 0)</f>
        <v>0</v>
      </c>
      <c r="E302" s="11">
        <f>IF(C302&gt;0.01, C302*Jahreszins/ZahlungenProJahr, 0)</f>
        <v>0</v>
      </c>
      <c r="F302" s="11">
        <f>IF(C302&gt;0.01, D302-E302, 0)</f>
        <v>0</v>
      </c>
      <c r="G302" s="12"/>
      <c r="H302" s="11">
        <f>SUM(F302,G302)</f>
        <v>0</v>
      </c>
      <c r="I302" s="11">
        <f>C302-H302</f>
        <v>0</v>
      </c>
    </row>
    <row r="303" spans="1:9">
      <c r="A303">
        <f>IF(C303&gt;0.01, 302, "")</f>
        <v>0</v>
      </c>
      <c r="B303" s="10">
        <f>IF(C303&gt;0.01,EDATE(B302,12/ZahlungenProJahr),"")</f>
        <v>0</v>
      </c>
      <c r="C303" s="11">
        <f>I302</f>
        <v>0</v>
      </c>
      <c r="D303" s="11">
        <f>IF(C303&gt;0.01, MIN(Rate, C303*(1+Jahreszins/ZahlungenProJahr)), 0)</f>
        <v>0</v>
      </c>
      <c r="E303" s="11">
        <f>IF(C303&gt;0.01, C303*Jahreszins/ZahlungenProJahr, 0)</f>
        <v>0</v>
      </c>
      <c r="F303" s="11">
        <f>IF(C303&gt;0.01, D303-E303, 0)</f>
        <v>0</v>
      </c>
      <c r="G303" s="12"/>
      <c r="H303" s="11">
        <f>SUM(F303,G303)</f>
        <v>0</v>
      </c>
      <c r="I303" s="11">
        <f>C303-H303</f>
        <v>0</v>
      </c>
    </row>
    <row r="304" spans="1:9">
      <c r="A304">
        <f>IF(C304&gt;0.01, 303, "")</f>
        <v>0</v>
      </c>
      <c r="B304" s="10">
        <f>IF(C304&gt;0.01,EDATE(B303,12/ZahlungenProJahr),"")</f>
        <v>0</v>
      </c>
      <c r="C304" s="11">
        <f>I303</f>
        <v>0</v>
      </c>
      <c r="D304" s="11">
        <f>IF(C304&gt;0.01, MIN(Rate, C304*(1+Jahreszins/ZahlungenProJahr)), 0)</f>
        <v>0</v>
      </c>
      <c r="E304" s="11">
        <f>IF(C304&gt;0.01, C304*Jahreszins/ZahlungenProJahr, 0)</f>
        <v>0</v>
      </c>
      <c r="F304" s="11">
        <f>IF(C304&gt;0.01, D304-E304, 0)</f>
        <v>0</v>
      </c>
      <c r="G304" s="12"/>
      <c r="H304" s="11">
        <f>SUM(F304,G304)</f>
        <v>0</v>
      </c>
      <c r="I304" s="11">
        <f>C304-H304</f>
        <v>0</v>
      </c>
    </row>
    <row r="305" spans="1:9">
      <c r="A305">
        <f>IF(C305&gt;0.01, 304, "")</f>
        <v>0</v>
      </c>
      <c r="B305" s="10">
        <f>IF(C305&gt;0.01,EDATE(B304,12/ZahlungenProJahr),"")</f>
        <v>0</v>
      </c>
      <c r="C305" s="11">
        <f>I304</f>
        <v>0</v>
      </c>
      <c r="D305" s="11">
        <f>IF(C305&gt;0.01, MIN(Rate, C305*(1+Jahreszins/ZahlungenProJahr)), 0)</f>
        <v>0</v>
      </c>
      <c r="E305" s="11">
        <f>IF(C305&gt;0.01, C305*Jahreszins/ZahlungenProJahr, 0)</f>
        <v>0</v>
      </c>
      <c r="F305" s="11">
        <f>IF(C305&gt;0.01, D305-E305, 0)</f>
        <v>0</v>
      </c>
      <c r="G305" s="12"/>
      <c r="H305" s="11">
        <f>SUM(F305,G305)</f>
        <v>0</v>
      </c>
      <c r="I305" s="11">
        <f>C305-H305</f>
        <v>0</v>
      </c>
    </row>
    <row r="306" spans="1:9">
      <c r="A306">
        <f>IF(C306&gt;0.01, 305, "")</f>
        <v>0</v>
      </c>
      <c r="B306" s="10">
        <f>IF(C306&gt;0.01,EDATE(B305,12/ZahlungenProJahr),"")</f>
        <v>0</v>
      </c>
      <c r="C306" s="11">
        <f>I305</f>
        <v>0</v>
      </c>
      <c r="D306" s="11">
        <f>IF(C306&gt;0.01, MIN(Rate, C306*(1+Jahreszins/ZahlungenProJahr)), 0)</f>
        <v>0</v>
      </c>
      <c r="E306" s="11">
        <f>IF(C306&gt;0.01, C306*Jahreszins/ZahlungenProJahr, 0)</f>
        <v>0</v>
      </c>
      <c r="F306" s="11">
        <f>IF(C306&gt;0.01, D306-E306, 0)</f>
        <v>0</v>
      </c>
      <c r="G306" s="12"/>
      <c r="H306" s="11">
        <f>SUM(F306,G306)</f>
        <v>0</v>
      </c>
      <c r="I306" s="11">
        <f>C306-H306</f>
        <v>0</v>
      </c>
    </row>
    <row r="307" spans="1:9">
      <c r="A307">
        <f>IF(C307&gt;0.01, 306, "")</f>
        <v>0</v>
      </c>
      <c r="B307" s="10">
        <f>IF(C307&gt;0.01,EDATE(B306,12/ZahlungenProJahr),"")</f>
        <v>0</v>
      </c>
      <c r="C307" s="11">
        <f>I306</f>
        <v>0</v>
      </c>
      <c r="D307" s="11">
        <f>IF(C307&gt;0.01, MIN(Rate, C307*(1+Jahreszins/ZahlungenProJahr)), 0)</f>
        <v>0</v>
      </c>
      <c r="E307" s="11">
        <f>IF(C307&gt;0.01, C307*Jahreszins/ZahlungenProJahr, 0)</f>
        <v>0</v>
      </c>
      <c r="F307" s="11">
        <f>IF(C307&gt;0.01, D307-E307, 0)</f>
        <v>0</v>
      </c>
      <c r="G307" s="12"/>
      <c r="H307" s="11">
        <f>SUM(F307,G307)</f>
        <v>0</v>
      </c>
      <c r="I307" s="11">
        <f>C307-H307</f>
        <v>0</v>
      </c>
    </row>
    <row r="308" spans="1:9">
      <c r="A308">
        <f>IF(C308&gt;0.01, 307, "")</f>
        <v>0</v>
      </c>
      <c r="B308" s="10">
        <f>IF(C308&gt;0.01,EDATE(B307,12/ZahlungenProJahr),"")</f>
        <v>0</v>
      </c>
      <c r="C308" s="11">
        <f>I307</f>
        <v>0</v>
      </c>
      <c r="D308" s="11">
        <f>IF(C308&gt;0.01, MIN(Rate, C308*(1+Jahreszins/ZahlungenProJahr)), 0)</f>
        <v>0</v>
      </c>
      <c r="E308" s="11">
        <f>IF(C308&gt;0.01, C308*Jahreszins/ZahlungenProJahr, 0)</f>
        <v>0</v>
      </c>
      <c r="F308" s="11">
        <f>IF(C308&gt;0.01, D308-E308, 0)</f>
        <v>0</v>
      </c>
      <c r="G308" s="12"/>
      <c r="H308" s="11">
        <f>SUM(F308,G308)</f>
        <v>0</v>
      </c>
      <c r="I308" s="11">
        <f>C308-H308</f>
        <v>0</v>
      </c>
    </row>
    <row r="309" spans="1:9">
      <c r="A309">
        <f>IF(C309&gt;0.01, 308, "")</f>
        <v>0</v>
      </c>
      <c r="B309" s="10">
        <f>IF(C309&gt;0.01,EDATE(B308,12/ZahlungenProJahr),"")</f>
        <v>0</v>
      </c>
      <c r="C309" s="11">
        <f>I308</f>
        <v>0</v>
      </c>
      <c r="D309" s="11">
        <f>IF(C309&gt;0.01, MIN(Rate, C309*(1+Jahreszins/ZahlungenProJahr)), 0)</f>
        <v>0</v>
      </c>
      <c r="E309" s="11">
        <f>IF(C309&gt;0.01, C309*Jahreszins/ZahlungenProJahr, 0)</f>
        <v>0</v>
      </c>
      <c r="F309" s="11">
        <f>IF(C309&gt;0.01, D309-E309, 0)</f>
        <v>0</v>
      </c>
      <c r="G309" s="12"/>
      <c r="H309" s="11">
        <f>SUM(F309,G309)</f>
        <v>0</v>
      </c>
      <c r="I309" s="11">
        <f>C309-H309</f>
        <v>0</v>
      </c>
    </row>
    <row r="310" spans="1:9">
      <c r="A310">
        <f>IF(C310&gt;0.01, 309, "")</f>
        <v>0</v>
      </c>
      <c r="B310" s="10">
        <f>IF(C310&gt;0.01,EDATE(B309,12/ZahlungenProJahr),"")</f>
        <v>0</v>
      </c>
      <c r="C310" s="11">
        <f>I309</f>
        <v>0</v>
      </c>
      <c r="D310" s="11">
        <f>IF(C310&gt;0.01, MIN(Rate, C310*(1+Jahreszins/ZahlungenProJahr)), 0)</f>
        <v>0</v>
      </c>
      <c r="E310" s="11">
        <f>IF(C310&gt;0.01, C310*Jahreszins/ZahlungenProJahr, 0)</f>
        <v>0</v>
      </c>
      <c r="F310" s="11">
        <f>IF(C310&gt;0.01, D310-E310, 0)</f>
        <v>0</v>
      </c>
      <c r="G310" s="12"/>
      <c r="H310" s="11">
        <f>SUM(F310,G310)</f>
        <v>0</v>
      </c>
      <c r="I310" s="11">
        <f>C310-H310</f>
        <v>0</v>
      </c>
    </row>
    <row r="311" spans="1:9">
      <c r="A311">
        <f>IF(C311&gt;0.01, 310, "")</f>
        <v>0</v>
      </c>
      <c r="B311" s="10">
        <f>IF(C311&gt;0.01,EDATE(B310,12/ZahlungenProJahr),"")</f>
        <v>0</v>
      </c>
      <c r="C311" s="11">
        <f>I310</f>
        <v>0</v>
      </c>
      <c r="D311" s="11">
        <f>IF(C311&gt;0.01, MIN(Rate, C311*(1+Jahreszins/ZahlungenProJahr)), 0)</f>
        <v>0</v>
      </c>
      <c r="E311" s="11">
        <f>IF(C311&gt;0.01, C311*Jahreszins/ZahlungenProJahr, 0)</f>
        <v>0</v>
      </c>
      <c r="F311" s="11">
        <f>IF(C311&gt;0.01, D311-E311, 0)</f>
        <v>0</v>
      </c>
      <c r="G311" s="12"/>
      <c r="H311" s="11">
        <f>SUM(F311,G311)</f>
        <v>0</v>
      </c>
      <c r="I311" s="11">
        <f>C311-H311</f>
        <v>0</v>
      </c>
    </row>
    <row r="312" spans="1:9">
      <c r="A312">
        <f>IF(C312&gt;0.01, 311, "")</f>
        <v>0</v>
      </c>
      <c r="B312" s="10">
        <f>IF(C312&gt;0.01,EDATE(B311,12/ZahlungenProJahr),"")</f>
        <v>0</v>
      </c>
      <c r="C312" s="11">
        <f>I311</f>
        <v>0</v>
      </c>
      <c r="D312" s="11">
        <f>IF(C312&gt;0.01, MIN(Rate, C312*(1+Jahreszins/ZahlungenProJahr)), 0)</f>
        <v>0</v>
      </c>
      <c r="E312" s="11">
        <f>IF(C312&gt;0.01, C312*Jahreszins/ZahlungenProJahr, 0)</f>
        <v>0</v>
      </c>
      <c r="F312" s="11">
        <f>IF(C312&gt;0.01, D312-E312, 0)</f>
        <v>0</v>
      </c>
      <c r="G312" s="12"/>
      <c r="H312" s="11">
        <f>SUM(F312,G312)</f>
        <v>0</v>
      </c>
      <c r="I312" s="11">
        <f>C312-H312</f>
        <v>0</v>
      </c>
    </row>
    <row r="313" spans="1:9">
      <c r="A313">
        <f>IF(C313&gt;0.01, 312, "")</f>
        <v>0</v>
      </c>
      <c r="B313" s="10">
        <f>IF(C313&gt;0.01,EDATE(B312,12/ZahlungenProJahr),"")</f>
        <v>0</v>
      </c>
      <c r="C313" s="11">
        <f>I312</f>
        <v>0</v>
      </c>
      <c r="D313" s="11">
        <f>IF(C313&gt;0.01, MIN(Rate, C313*(1+Jahreszins/ZahlungenProJahr)), 0)</f>
        <v>0</v>
      </c>
      <c r="E313" s="11">
        <f>IF(C313&gt;0.01, C313*Jahreszins/ZahlungenProJahr, 0)</f>
        <v>0</v>
      </c>
      <c r="F313" s="11">
        <f>IF(C313&gt;0.01, D313-E313, 0)</f>
        <v>0</v>
      </c>
      <c r="G313" s="12"/>
      <c r="H313" s="11">
        <f>SUM(F313,G313)</f>
        <v>0</v>
      </c>
      <c r="I313" s="11">
        <f>C313-H313</f>
        <v>0</v>
      </c>
    </row>
    <row r="314" spans="1:9">
      <c r="A314">
        <f>IF(C314&gt;0.01, 313, "")</f>
        <v>0</v>
      </c>
      <c r="B314" s="10">
        <f>IF(C314&gt;0.01,EDATE(B313,12/ZahlungenProJahr),"")</f>
        <v>0</v>
      </c>
      <c r="C314" s="11">
        <f>I313</f>
        <v>0</v>
      </c>
      <c r="D314" s="11">
        <f>IF(C314&gt;0.01, MIN(Rate, C314*(1+Jahreszins/ZahlungenProJahr)), 0)</f>
        <v>0</v>
      </c>
      <c r="E314" s="11">
        <f>IF(C314&gt;0.01, C314*Jahreszins/ZahlungenProJahr, 0)</f>
        <v>0</v>
      </c>
      <c r="F314" s="11">
        <f>IF(C314&gt;0.01, D314-E314, 0)</f>
        <v>0</v>
      </c>
      <c r="G314" s="12"/>
      <c r="H314" s="11">
        <f>SUM(F314,G314)</f>
        <v>0</v>
      </c>
      <c r="I314" s="11">
        <f>C314-H314</f>
        <v>0</v>
      </c>
    </row>
    <row r="315" spans="1:9">
      <c r="A315">
        <f>IF(C315&gt;0.01, 314, "")</f>
        <v>0</v>
      </c>
      <c r="B315" s="10">
        <f>IF(C315&gt;0.01,EDATE(B314,12/ZahlungenProJahr),"")</f>
        <v>0</v>
      </c>
      <c r="C315" s="11">
        <f>I314</f>
        <v>0</v>
      </c>
      <c r="D315" s="11">
        <f>IF(C315&gt;0.01, MIN(Rate, C315*(1+Jahreszins/ZahlungenProJahr)), 0)</f>
        <v>0</v>
      </c>
      <c r="E315" s="11">
        <f>IF(C315&gt;0.01, C315*Jahreszins/ZahlungenProJahr, 0)</f>
        <v>0</v>
      </c>
      <c r="F315" s="11">
        <f>IF(C315&gt;0.01, D315-E315, 0)</f>
        <v>0</v>
      </c>
      <c r="G315" s="12"/>
      <c r="H315" s="11">
        <f>SUM(F315,G315)</f>
        <v>0</v>
      </c>
      <c r="I315" s="11">
        <f>C315-H315</f>
        <v>0</v>
      </c>
    </row>
    <row r="316" spans="1:9">
      <c r="A316">
        <f>IF(C316&gt;0.01, 315, "")</f>
        <v>0</v>
      </c>
      <c r="B316" s="10">
        <f>IF(C316&gt;0.01,EDATE(B315,12/ZahlungenProJahr),"")</f>
        <v>0</v>
      </c>
      <c r="C316" s="11">
        <f>I315</f>
        <v>0</v>
      </c>
      <c r="D316" s="11">
        <f>IF(C316&gt;0.01, MIN(Rate, C316*(1+Jahreszins/ZahlungenProJahr)), 0)</f>
        <v>0</v>
      </c>
      <c r="E316" s="11">
        <f>IF(C316&gt;0.01, C316*Jahreszins/ZahlungenProJahr, 0)</f>
        <v>0</v>
      </c>
      <c r="F316" s="11">
        <f>IF(C316&gt;0.01, D316-E316, 0)</f>
        <v>0</v>
      </c>
      <c r="G316" s="12"/>
      <c r="H316" s="11">
        <f>SUM(F316,G316)</f>
        <v>0</v>
      </c>
      <c r="I316" s="11">
        <f>C316-H316</f>
        <v>0</v>
      </c>
    </row>
    <row r="317" spans="1:9">
      <c r="A317">
        <f>IF(C317&gt;0.01, 316, "")</f>
        <v>0</v>
      </c>
      <c r="B317" s="10">
        <f>IF(C317&gt;0.01,EDATE(B316,12/ZahlungenProJahr),"")</f>
        <v>0</v>
      </c>
      <c r="C317" s="11">
        <f>I316</f>
        <v>0</v>
      </c>
      <c r="D317" s="11">
        <f>IF(C317&gt;0.01, MIN(Rate, C317*(1+Jahreszins/ZahlungenProJahr)), 0)</f>
        <v>0</v>
      </c>
      <c r="E317" s="11">
        <f>IF(C317&gt;0.01, C317*Jahreszins/ZahlungenProJahr, 0)</f>
        <v>0</v>
      </c>
      <c r="F317" s="11">
        <f>IF(C317&gt;0.01, D317-E317, 0)</f>
        <v>0</v>
      </c>
      <c r="G317" s="12"/>
      <c r="H317" s="11">
        <f>SUM(F317,G317)</f>
        <v>0</v>
      </c>
      <c r="I317" s="11">
        <f>C317-H317</f>
        <v>0</v>
      </c>
    </row>
    <row r="318" spans="1:9">
      <c r="A318">
        <f>IF(C318&gt;0.01, 317, "")</f>
        <v>0</v>
      </c>
      <c r="B318" s="10">
        <f>IF(C318&gt;0.01,EDATE(B317,12/ZahlungenProJahr),"")</f>
        <v>0</v>
      </c>
      <c r="C318" s="11">
        <f>I317</f>
        <v>0</v>
      </c>
      <c r="D318" s="11">
        <f>IF(C318&gt;0.01, MIN(Rate, C318*(1+Jahreszins/ZahlungenProJahr)), 0)</f>
        <v>0</v>
      </c>
      <c r="E318" s="11">
        <f>IF(C318&gt;0.01, C318*Jahreszins/ZahlungenProJahr, 0)</f>
        <v>0</v>
      </c>
      <c r="F318" s="11">
        <f>IF(C318&gt;0.01, D318-E318, 0)</f>
        <v>0</v>
      </c>
      <c r="G318" s="12"/>
      <c r="H318" s="11">
        <f>SUM(F318,G318)</f>
        <v>0</v>
      </c>
      <c r="I318" s="11">
        <f>C318-H318</f>
        <v>0</v>
      </c>
    </row>
    <row r="319" spans="1:9">
      <c r="A319">
        <f>IF(C319&gt;0.01, 318, "")</f>
        <v>0</v>
      </c>
      <c r="B319" s="10">
        <f>IF(C319&gt;0.01,EDATE(B318,12/ZahlungenProJahr),"")</f>
        <v>0</v>
      </c>
      <c r="C319" s="11">
        <f>I318</f>
        <v>0</v>
      </c>
      <c r="D319" s="11">
        <f>IF(C319&gt;0.01, MIN(Rate, C319*(1+Jahreszins/ZahlungenProJahr)), 0)</f>
        <v>0</v>
      </c>
      <c r="E319" s="11">
        <f>IF(C319&gt;0.01, C319*Jahreszins/ZahlungenProJahr, 0)</f>
        <v>0</v>
      </c>
      <c r="F319" s="11">
        <f>IF(C319&gt;0.01, D319-E319, 0)</f>
        <v>0</v>
      </c>
      <c r="G319" s="12"/>
      <c r="H319" s="11">
        <f>SUM(F319,G319)</f>
        <v>0</v>
      </c>
      <c r="I319" s="11">
        <f>C319-H319</f>
        <v>0</v>
      </c>
    </row>
    <row r="320" spans="1:9">
      <c r="A320">
        <f>IF(C320&gt;0.01, 319, "")</f>
        <v>0</v>
      </c>
      <c r="B320" s="10">
        <f>IF(C320&gt;0.01,EDATE(B319,12/ZahlungenProJahr),"")</f>
        <v>0</v>
      </c>
      <c r="C320" s="11">
        <f>I319</f>
        <v>0</v>
      </c>
      <c r="D320" s="11">
        <f>IF(C320&gt;0.01, MIN(Rate, C320*(1+Jahreszins/ZahlungenProJahr)), 0)</f>
        <v>0</v>
      </c>
      <c r="E320" s="11">
        <f>IF(C320&gt;0.01, C320*Jahreszins/ZahlungenProJahr, 0)</f>
        <v>0</v>
      </c>
      <c r="F320" s="11">
        <f>IF(C320&gt;0.01, D320-E320, 0)</f>
        <v>0</v>
      </c>
      <c r="G320" s="12"/>
      <c r="H320" s="11">
        <f>SUM(F320,G320)</f>
        <v>0</v>
      </c>
      <c r="I320" s="11">
        <f>C320-H320</f>
        <v>0</v>
      </c>
    </row>
    <row r="321" spans="1:9">
      <c r="A321">
        <f>IF(C321&gt;0.01, 320, "")</f>
        <v>0</v>
      </c>
      <c r="B321" s="10">
        <f>IF(C321&gt;0.01,EDATE(B320,12/ZahlungenProJahr),"")</f>
        <v>0</v>
      </c>
      <c r="C321" s="11">
        <f>I320</f>
        <v>0</v>
      </c>
      <c r="D321" s="11">
        <f>IF(C321&gt;0.01, MIN(Rate, C321*(1+Jahreszins/ZahlungenProJahr)), 0)</f>
        <v>0</v>
      </c>
      <c r="E321" s="11">
        <f>IF(C321&gt;0.01, C321*Jahreszins/ZahlungenProJahr, 0)</f>
        <v>0</v>
      </c>
      <c r="F321" s="11">
        <f>IF(C321&gt;0.01, D321-E321, 0)</f>
        <v>0</v>
      </c>
      <c r="G321" s="12"/>
      <c r="H321" s="11">
        <f>SUM(F321,G321)</f>
        <v>0</v>
      </c>
      <c r="I321" s="11">
        <f>C321-H321</f>
        <v>0</v>
      </c>
    </row>
    <row r="322" spans="1:9">
      <c r="A322">
        <f>IF(C322&gt;0.01, 321, "")</f>
        <v>0</v>
      </c>
      <c r="B322" s="10">
        <f>IF(C322&gt;0.01,EDATE(B321,12/ZahlungenProJahr),"")</f>
        <v>0</v>
      </c>
      <c r="C322" s="11">
        <f>I321</f>
        <v>0</v>
      </c>
      <c r="D322" s="11">
        <f>IF(C322&gt;0.01, MIN(Rate, C322*(1+Jahreszins/ZahlungenProJahr)), 0)</f>
        <v>0</v>
      </c>
      <c r="E322" s="11">
        <f>IF(C322&gt;0.01, C322*Jahreszins/ZahlungenProJahr, 0)</f>
        <v>0</v>
      </c>
      <c r="F322" s="11">
        <f>IF(C322&gt;0.01, D322-E322, 0)</f>
        <v>0</v>
      </c>
      <c r="G322" s="12"/>
      <c r="H322" s="11">
        <f>SUM(F322,G322)</f>
        <v>0</v>
      </c>
      <c r="I322" s="11">
        <f>C322-H322</f>
        <v>0</v>
      </c>
    </row>
    <row r="323" spans="1:9">
      <c r="A323">
        <f>IF(C323&gt;0.01, 322, "")</f>
        <v>0</v>
      </c>
      <c r="B323" s="10">
        <f>IF(C323&gt;0.01,EDATE(B322,12/ZahlungenProJahr),"")</f>
        <v>0</v>
      </c>
      <c r="C323" s="11">
        <f>I322</f>
        <v>0</v>
      </c>
      <c r="D323" s="11">
        <f>IF(C323&gt;0.01, MIN(Rate, C323*(1+Jahreszins/ZahlungenProJahr)), 0)</f>
        <v>0</v>
      </c>
      <c r="E323" s="11">
        <f>IF(C323&gt;0.01, C323*Jahreszins/ZahlungenProJahr, 0)</f>
        <v>0</v>
      </c>
      <c r="F323" s="11">
        <f>IF(C323&gt;0.01, D323-E323, 0)</f>
        <v>0</v>
      </c>
      <c r="G323" s="12"/>
      <c r="H323" s="11">
        <f>SUM(F323,G323)</f>
        <v>0</v>
      </c>
      <c r="I323" s="11">
        <f>C323-H323</f>
        <v>0</v>
      </c>
    </row>
    <row r="324" spans="1:9">
      <c r="A324">
        <f>IF(C324&gt;0.01, 323, "")</f>
        <v>0</v>
      </c>
      <c r="B324" s="10">
        <f>IF(C324&gt;0.01,EDATE(B323,12/ZahlungenProJahr),"")</f>
        <v>0</v>
      </c>
      <c r="C324" s="11">
        <f>I323</f>
        <v>0</v>
      </c>
      <c r="D324" s="11">
        <f>IF(C324&gt;0.01, MIN(Rate, C324*(1+Jahreszins/ZahlungenProJahr)), 0)</f>
        <v>0</v>
      </c>
      <c r="E324" s="11">
        <f>IF(C324&gt;0.01, C324*Jahreszins/ZahlungenProJahr, 0)</f>
        <v>0</v>
      </c>
      <c r="F324" s="11">
        <f>IF(C324&gt;0.01, D324-E324, 0)</f>
        <v>0</v>
      </c>
      <c r="G324" s="12"/>
      <c r="H324" s="11">
        <f>SUM(F324,G324)</f>
        <v>0</v>
      </c>
      <c r="I324" s="11">
        <f>C324-H324</f>
        <v>0</v>
      </c>
    </row>
    <row r="325" spans="1:9">
      <c r="A325">
        <f>IF(C325&gt;0.01, 324, "")</f>
        <v>0</v>
      </c>
      <c r="B325" s="10">
        <f>IF(C325&gt;0.01,EDATE(B324,12/ZahlungenProJahr),"")</f>
        <v>0</v>
      </c>
      <c r="C325" s="11">
        <f>I324</f>
        <v>0</v>
      </c>
      <c r="D325" s="11">
        <f>IF(C325&gt;0.01, MIN(Rate, C325*(1+Jahreszins/ZahlungenProJahr)), 0)</f>
        <v>0</v>
      </c>
      <c r="E325" s="11">
        <f>IF(C325&gt;0.01, C325*Jahreszins/ZahlungenProJahr, 0)</f>
        <v>0</v>
      </c>
      <c r="F325" s="11">
        <f>IF(C325&gt;0.01, D325-E325, 0)</f>
        <v>0</v>
      </c>
      <c r="G325" s="12"/>
      <c r="H325" s="11">
        <f>SUM(F325,G325)</f>
        <v>0</v>
      </c>
      <c r="I325" s="11">
        <f>C325-H325</f>
        <v>0</v>
      </c>
    </row>
    <row r="326" spans="1:9">
      <c r="A326">
        <f>IF(C326&gt;0.01, 325, "")</f>
        <v>0</v>
      </c>
      <c r="B326" s="10">
        <f>IF(C326&gt;0.01,EDATE(B325,12/ZahlungenProJahr),"")</f>
        <v>0</v>
      </c>
      <c r="C326" s="11">
        <f>I325</f>
        <v>0</v>
      </c>
      <c r="D326" s="11">
        <f>IF(C326&gt;0.01, MIN(Rate, C326*(1+Jahreszins/ZahlungenProJahr)), 0)</f>
        <v>0</v>
      </c>
      <c r="E326" s="11">
        <f>IF(C326&gt;0.01, C326*Jahreszins/ZahlungenProJahr, 0)</f>
        <v>0</v>
      </c>
      <c r="F326" s="11">
        <f>IF(C326&gt;0.01, D326-E326, 0)</f>
        <v>0</v>
      </c>
      <c r="G326" s="12"/>
      <c r="H326" s="11">
        <f>SUM(F326,G326)</f>
        <v>0</v>
      </c>
      <c r="I326" s="11">
        <f>C326-H326</f>
        <v>0</v>
      </c>
    </row>
    <row r="327" spans="1:9">
      <c r="A327">
        <f>IF(C327&gt;0.01, 326, "")</f>
        <v>0</v>
      </c>
      <c r="B327" s="10">
        <f>IF(C327&gt;0.01,EDATE(B326,12/ZahlungenProJahr),"")</f>
        <v>0</v>
      </c>
      <c r="C327" s="11">
        <f>I326</f>
        <v>0</v>
      </c>
      <c r="D327" s="11">
        <f>IF(C327&gt;0.01, MIN(Rate, C327*(1+Jahreszins/ZahlungenProJahr)), 0)</f>
        <v>0</v>
      </c>
      <c r="E327" s="11">
        <f>IF(C327&gt;0.01, C327*Jahreszins/ZahlungenProJahr, 0)</f>
        <v>0</v>
      </c>
      <c r="F327" s="11">
        <f>IF(C327&gt;0.01, D327-E327, 0)</f>
        <v>0</v>
      </c>
      <c r="G327" s="12"/>
      <c r="H327" s="11">
        <f>SUM(F327,G327)</f>
        <v>0</v>
      </c>
      <c r="I327" s="11">
        <f>C327-H327</f>
        <v>0</v>
      </c>
    </row>
    <row r="328" spans="1:9">
      <c r="A328">
        <f>IF(C328&gt;0.01, 327, "")</f>
        <v>0</v>
      </c>
      <c r="B328" s="10">
        <f>IF(C328&gt;0.01,EDATE(B327,12/ZahlungenProJahr),"")</f>
        <v>0</v>
      </c>
      <c r="C328" s="11">
        <f>I327</f>
        <v>0</v>
      </c>
      <c r="D328" s="11">
        <f>IF(C328&gt;0.01, MIN(Rate, C328*(1+Jahreszins/ZahlungenProJahr)), 0)</f>
        <v>0</v>
      </c>
      <c r="E328" s="11">
        <f>IF(C328&gt;0.01, C328*Jahreszins/ZahlungenProJahr, 0)</f>
        <v>0</v>
      </c>
      <c r="F328" s="11">
        <f>IF(C328&gt;0.01, D328-E328, 0)</f>
        <v>0</v>
      </c>
      <c r="G328" s="12"/>
      <c r="H328" s="11">
        <f>SUM(F328,G328)</f>
        <v>0</v>
      </c>
      <c r="I328" s="11">
        <f>C328-H328</f>
        <v>0</v>
      </c>
    </row>
    <row r="329" spans="1:9">
      <c r="A329">
        <f>IF(C329&gt;0.01, 328, "")</f>
        <v>0</v>
      </c>
      <c r="B329" s="10">
        <f>IF(C329&gt;0.01,EDATE(B328,12/ZahlungenProJahr),"")</f>
        <v>0</v>
      </c>
      <c r="C329" s="11">
        <f>I328</f>
        <v>0</v>
      </c>
      <c r="D329" s="11">
        <f>IF(C329&gt;0.01, MIN(Rate, C329*(1+Jahreszins/ZahlungenProJahr)), 0)</f>
        <v>0</v>
      </c>
      <c r="E329" s="11">
        <f>IF(C329&gt;0.01, C329*Jahreszins/ZahlungenProJahr, 0)</f>
        <v>0</v>
      </c>
      <c r="F329" s="11">
        <f>IF(C329&gt;0.01, D329-E329, 0)</f>
        <v>0</v>
      </c>
      <c r="G329" s="12"/>
      <c r="H329" s="11">
        <f>SUM(F329,G329)</f>
        <v>0</v>
      </c>
      <c r="I329" s="11">
        <f>C329-H329</f>
        <v>0</v>
      </c>
    </row>
    <row r="330" spans="1:9">
      <c r="A330">
        <f>IF(C330&gt;0.01, 329, "")</f>
        <v>0</v>
      </c>
      <c r="B330" s="10">
        <f>IF(C330&gt;0.01,EDATE(B329,12/ZahlungenProJahr),"")</f>
        <v>0</v>
      </c>
      <c r="C330" s="11">
        <f>I329</f>
        <v>0</v>
      </c>
      <c r="D330" s="11">
        <f>IF(C330&gt;0.01, MIN(Rate, C330*(1+Jahreszins/ZahlungenProJahr)), 0)</f>
        <v>0</v>
      </c>
      <c r="E330" s="11">
        <f>IF(C330&gt;0.01, C330*Jahreszins/ZahlungenProJahr, 0)</f>
        <v>0</v>
      </c>
      <c r="F330" s="11">
        <f>IF(C330&gt;0.01, D330-E330, 0)</f>
        <v>0</v>
      </c>
      <c r="G330" s="12"/>
      <c r="H330" s="11">
        <f>SUM(F330,G330)</f>
        <v>0</v>
      </c>
      <c r="I330" s="11">
        <f>C330-H330</f>
        <v>0</v>
      </c>
    </row>
    <row r="331" spans="1:9">
      <c r="A331">
        <f>IF(C331&gt;0.01, 330, "")</f>
        <v>0</v>
      </c>
      <c r="B331" s="10">
        <f>IF(C331&gt;0.01,EDATE(B330,12/ZahlungenProJahr),"")</f>
        <v>0</v>
      </c>
      <c r="C331" s="11">
        <f>I330</f>
        <v>0</v>
      </c>
      <c r="D331" s="11">
        <f>IF(C331&gt;0.01, MIN(Rate, C331*(1+Jahreszins/ZahlungenProJahr)), 0)</f>
        <v>0</v>
      </c>
      <c r="E331" s="11">
        <f>IF(C331&gt;0.01, C331*Jahreszins/ZahlungenProJahr, 0)</f>
        <v>0</v>
      </c>
      <c r="F331" s="11">
        <f>IF(C331&gt;0.01, D331-E331, 0)</f>
        <v>0</v>
      </c>
      <c r="G331" s="12"/>
      <c r="H331" s="11">
        <f>SUM(F331,G331)</f>
        <v>0</v>
      </c>
      <c r="I331" s="11">
        <f>C331-H331</f>
        <v>0</v>
      </c>
    </row>
    <row r="332" spans="1:9">
      <c r="A332">
        <f>IF(C332&gt;0.01, 331, "")</f>
        <v>0</v>
      </c>
      <c r="B332" s="10">
        <f>IF(C332&gt;0.01,EDATE(B331,12/ZahlungenProJahr),"")</f>
        <v>0</v>
      </c>
      <c r="C332" s="11">
        <f>I331</f>
        <v>0</v>
      </c>
      <c r="D332" s="11">
        <f>IF(C332&gt;0.01, MIN(Rate, C332*(1+Jahreszins/ZahlungenProJahr)), 0)</f>
        <v>0</v>
      </c>
      <c r="E332" s="11">
        <f>IF(C332&gt;0.01, C332*Jahreszins/ZahlungenProJahr, 0)</f>
        <v>0</v>
      </c>
      <c r="F332" s="11">
        <f>IF(C332&gt;0.01, D332-E332, 0)</f>
        <v>0</v>
      </c>
      <c r="G332" s="12"/>
      <c r="H332" s="11">
        <f>SUM(F332,G332)</f>
        <v>0</v>
      </c>
      <c r="I332" s="11">
        <f>C332-H332</f>
        <v>0</v>
      </c>
    </row>
    <row r="333" spans="1:9">
      <c r="A333">
        <f>IF(C333&gt;0.01, 332, "")</f>
        <v>0</v>
      </c>
      <c r="B333" s="10">
        <f>IF(C333&gt;0.01,EDATE(B332,12/ZahlungenProJahr),"")</f>
        <v>0</v>
      </c>
      <c r="C333" s="11">
        <f>I332</f>
        <v>0</v>
      </c>
      <c r="D333" s="11">
        <f>IF(C333&gt;0.01, MIN(Rate, C333*(1+Jahreszins/ZahlungenProJahr)), 0)</f>
        <v>0</v>
      </c>
      <c r="E333" s="11">
        <f>IF(C333&gt;0.01, C333*Jahreszins/ZahlungenProJahr, 0)</f>
        <v>0</v>
      </c>
      <c r="F333" s="11">
        <f>IF(C333&gt;0.01, D333-E333, 0)</f>
        <v>0</v>
      </c>
      <c r="G333" s="12"/>
      <c r="H333" s="11">
        <f>SUM(F333,G333)</f>
        <v>0</v>
      </c>
      <c r="I333" s="11">
        <f>C333-H333</f>
        <v>0</v>
      </c>
    </row>
    <row r="334" spans="1:9">
      <c r="A334">
        <f>IF(C334&gt;0.01, 333, "")</f>
        <v>0</v>
      </c>
      <c r="B334" s="10">
        <f>IF(C334&gt;0.01,EDATE(B333,12/ZahlungenProJahr),"")</f>
        <v>0</v>
      </c>
      <c r="C334" s="11">
        <f>I333</f>
        <v>0</v>
      </c>
      <c r="D334" s="11">
        <f>IF(C334&gt;0.01, MIN(Rate, C334*(1+Jahreszins/ZahlungenProJahr)), 0)</f>
        <v>0</v>
      </c>
      <c r="E334" s="11">
        <f>IF(C334&gt;0.01, C334*Jahreszins/ZahlungenProJahr, 0)</f>
        <v>0</v>
      </c>
      <c r="F334" s="11">
        <f>IF(C334&gt;0.01, D334-E334, 0)</f>
        <v>0</v>
      </c>
      <c r="G334" s="12"/>
      <c r="H334" s="11">
        <f>SUM(F334,G334)</f>
        <v>0</v>
      </c>
      <c r="I334" s="11">
        <f>C334-H334</f>
        <v>0</v>
      </c>
    </row>
    <row r="335" spans="1:9">
      <c r="A335">
        <f>IF(C335&gt;0.01, 334, "")</f>
        <v>0</v>
      </c>
      <c r="B335" s="10">
        <f>IF(C335&gt;0.01,EDATE(B334,12/ZahlungenProJahr),"")</f>
        <v>0</v>
      </c>
      <c r="C335" s="11">
        <f>I334</f>
        <v>0</v>
      </c>
      <c r="D335" s="11">
        <f>IF(C335&gt;0.01, MIN(Rate, C335*(1+Jahreszins/ZahlungenProJahr)), 0)</f>
        <v>0</v>
      </c>
      <c r="E335" s="11">
        <f>IF(C335&gt;0.01, C335*Jahreszins/ZahlungenProJahr, 0)</f>
        <v>0</v>
      </c>
      <c r="F335" s="11">
        <f>IF(C335&gt;0.01, D335-E335, 0)</f>
        <v>0</v>
      </c>
      <c r="G335" s="12"/>
      <c r="H335" s="11">
        <f>SUM(F335,G335)</f>
        <v>0</v>
      </c>
      <c r="I335" s="11">
        <f>C335-H335</f>
        <v>0</v>
      </c>
    </row>
    <row r="336" spans="1:9">
      <c r="A336">
        <f>IF(C336&gt;0.01, 335, "")</f>
        <v>0</v>
      </c>
      <c r="B336" s="10">
        <f>IF(C336&gt;0.01,EDATE(B335,12/ZahlungenProJahr),"")</f>
        <v>0</v>
      </c>
      <c r="C336" s="11">
        <f>I335</f>
        <v>0</v>
      </c>
      <c r="D336" s="11">
        <f>IF(C336&gt;0.01, MIN(Rate, C336*(1+Jahreszins/ZahlungenProJahr)), 0)</f>
        <v>0</v>
      </c>
      <c r="E336" s="11">
        <f>IF(C336&gt;0.01, C336*Jahreszins/ZahlungenProJahr, 0)</f>
        <v>0</v>
      </c>
      <c r="F336" s="11">
        <f>IF(C336&gt;0.01, D336-E336, 0)</f>
        <v>0</v>
      </c>
      <c r="G336" s="12"/>
      <c r="H336" s="11">
        <f>SUM(F336,G336)</f>
        <v>0</v>
      </c>
      <c r="I336" s="11">
        <f>C336-H336</f>
        <v>0</v>
      </c>
    </row>
    <row r="337" spans="1:9">
      <c r="A337">
        <f>IF(C337&gt;0.01, 336, "")</f>
        <v>0</v>
      </c>
      <c r="B337" s="10">
        <f>IF(C337&gt;0.01,EDATE(B336,12/ZahlungenProJahr),"")</f>
        <v>0</v>
      </c>
      <c r="C337" s="11">
        <f>I336</f>
        <v>0</v>
      </c>
      <c r="D337" s="11">
        <f>IF(C337&gt;0.01, MIN(Rate, C337*(1+Jahreszins/ZahlungenProJahr)), 0)</f>
        <v>0</v>
      </c>
      <c r="E337" s="11">
        <f>IF(C337&gt;0.01, C337*Jahreszins/ZahlungenProJahr, 0)</f>
        <v>0</v>
      </c>
      <c r="F337" s="11">
        <f>IF(C337&gt;0.01, D337-E337, 0)</f>
        <v>0</v>
      </c>
      <c r="G337" s="12"/>
      <c r="H337" s="11">
        <f>SUM(F337,G337)</f>
        <v>0</v>
      </c>
      <c r="I337" s="11">
        <f>C337-H337</f>
        <v>0</v>
      </c>
    </row>
    <row r="338" spans="1:9">
      <c r="A338">
        <f>IF(C338&gt;0.01, 337, "")</f>
        <v>0</v>
      </c>
      <c r="B338" s="10">
        <f>IF(C338&gt;0.01,EDATE(B337,12/ZahlungenProJahr),"")</f>
        <v>0</v>
      </c>
      <c r="C338" s="11">
        <f>I337</f>
        <v>0</v>
      </c>
      <c r="D338" s="11">
        <f>IF(C338&gt;0.01, MIN(Rate, C338*(1+Jahreszins/ZahlungenProJahr)), 0)</f>
        <v>0</v>
      </c>
      <c r="E338" s="11">
        <f>IF(C338&gt;0.01, C338*Jahreszins/ZahlungenProJahr, 0)</f>
        <v>0</v>
      </c>
      <c r="F338" s="11">
        <f>IF(C338&gt;0.01, D338-E338, 0)</f>
        <v>0</v>
      </c>
      <c r="G338" s="12"/>
      <c r="H338" s="11">
        <f>SUM(F338,G338)</f>
        <v>0</v>
      </c>
      <c r="I338" s="11">
        <f>C338-H338</f>
        <v>0</v>
      </c>
    </row>
    <row r="339" spans="1:9">
      <c r="A339">
        <f>IF(C339&gt;0.01, 338, "")</f>
        <v>0</v>
      </c>
      <c r="B339" s="10">
        <f>IF(C339&gt;0.01,EDATE(B338,12/ZahlungenProJahr),"")</f>
        <v>0</v>
      </c>
      <c r="C339" s="11">
        <f>I338</f>
        <v>0</v>
      </c>
      <c r="D339" s="11">
        <f>IF(C339&gt;0.01, MIN(Rate, C339*(1+Jahreszins/ZahlungenProJahr)), 0)</f>
        <v>0</v>
      </c>
      <c r="E339" s="11">
        <f>IF(C339&gt;0.01, C339*Jahreszins/ZahlungenProJahr, 0)</f>
        <v>0</v>
      </c>
      <c r="F339" s="11">
        <f>IF(C339&gt;0.01, D339-E339, 0)</f>
        <v>0</v>
      </c>
      <c r="G339" s="12"/>
      <c r="H339" s="11">
        <f>SUM(F339,G339)</f>
        <v>0</v>
      </c>
      <c r="I339" s="11">
        <f>C339-H339</f>
        <v>0</v>
      </c>
    </row>
    <row r="340" spans="1:9">
      <c r="A340">
        <f>IF(C340&gt;0.01, 339, "")</f>
        <v>0</v>
      </c>
      <c r="B340" s="10">
        <f>IF(C340&gt;0.01,EDATE(B339,12/ZahlungenProJahr),"")</f>
        <v>0</v>
      </c>
      <c r="C340" s="11">
        <f>I339</f>
        <v>0</v>
      </c>
      <c r="D340" s="11">
        <f>IF(C340&gt;0.01, MIN(Rate, C340*(1+Jahreszins/ZahlungenProJahr)), 0)</f>
        <v>0</v>
      </c>
      <c r="E340" s="11">
        <f>IF(C340&gt;0.01, C340*Jahreszins/ZahlungenProJahr, 0)</f>
        <v>0</v>
      </c>
      <c r="F340" s="11">
        <f>IF(C340&gt;0.01, D340-E340, 0)</f>
        <v>0</v>
      </c>
      <c r="G340" s="12"/>
      <c r="H340" s="11">
        <f>SUM(F340,G340)</f>
        <v>0</v>
      </c>
      <c r="I340" s="11">
        <f>C340-H340</f>
        <v>0</v>
      </c>
    </row>
    <row r="341" spans="1:9">
      <c r="A341">
        <f>IF(C341&gt;0.01, 340, "")</f>
        <v>0</v>
      </c>
      <c r="B341" s="10">
        <f>IF(C341&gt;0.01,EDATE(B340,12/ZahlungenProJahr),"")</f>
        <v>0</v>
      </c>
      <c r="C341" s="11">
        <f>I340</f>
        <v>0</v>
      </c>
      <c r="D341" s="11">
        <f>IF(C341&gt;0.01, MIN(Rate, C341*(1+Jahreszins/ZahlungenProJahr)), 0)</f>
        <v>0</v>
      </c>
      <c r="E341" s="11">
        <f>IF(C341&gt;0.01, C341*Jahreszins/ZahlungenProJahr, 0)</f>
        <v>0</v>
      </c>
      <c r="F341" s="11">
        <f>IF(C341&gt;0.01, D341-E341, 0)</f>
        <v>0</v>
      </c>
      <c r="G341" s="12"/>
      <c r="H341" s="11">
        <f>SUM(F341,G341)</f>
        <v>0</v>
      </c>
      <c r="I341" s="11">
        <f>C341-H341</f>
        <v>0</v>
      </c>
    </row>
    <row r="342" spans="1:9">
      <c r="A342">
        <f>IF(C342&gt;0.01, 341, "")</f>
        <v>0</v>
      </c>
      <c r="B342" s="10">
        <f>IF(C342&gt;0.01,EDATE(B341,12/ZahlungenProJahr),"")</f>
        <v>0</v>
      </c>
      <c r="C342" s="11">
        <f>I341</f>
        <v>0</v>
      </c>
      <c r="D342" s="11">
        <f>IF(C342&gt;0.01, MIN(Rate, C342*(1+Jahreszins/ZahlungenProJahr)), 0)</f>
        <v>0</v>
      </c>
      <c r="E342" s="11">
        <f>IF(C342&gt;0.01, C342*Jahreszins/ZahlungenProJahr, 0)</f>
        <v>0</v>
      </c>
      <c r="F342" s="11">
        <f>IF(C342&gt;0.01, D342-E342, 0)</f>
        <v>0</v>
      </c>
      <c r="G342" s="12"/>
      <c r="H342" s="11">
        <f>SUM(F342,G342)</f>
        <v>0</v>
      </c>
      <c r="I342" s="11">
        <f>C342-H342</f>
        <v>0</v>
      </c>
    </row>
    <row r="343" spans="1:9">
      <c r="A343">
        <f>IF(C343&gt;0.01, 342, "")</f>
        <v>0</v>
      </c>
      <c r="B343" s="10">
        <f>IF(C343&gt;0.01,EDATE(B342,12/ZahlungenProJahr),"")</f>
        <v>0</v>
      </c>
      <c r="C343" s="11">
        <f>I342</f>
        <v>0</v>
      </c>
      <c r="D343" s="11">
        <f>IF(C343&gt;0.01, MIN(Rate, C343*(1+Jahreszins/ZahlungenProJahr)), 0)</f>
        <v>0</v>
      </c>
      <c r="E343" s="11">
        <f>IF(C343&gt;0.01, C343*Jahreszins/ZahlungenProJahr, 0)</f>
        <v>0</v>
      </c>
      <c r="F343" s="11">
        <f>IF(C343&gt;0.01, D343-E343, 0)</f>
        <v>0</v>
      </c>
      <c r="G343" s="12"/>
      <c r="H343" s="11">
        <f>SUM(F343,G343)</f>
        <v>0</v>
      </c>
      <c r="I343" s="11">
        <f>C343-H343</f>
        <v>0</v>
      </c>
    </row>
    <row r="344" spans="1:9">
      <c r="A344">
        <f>IF(C344&gt;0.01, 343, "")</f>
        <v>0</v>
      </c>
      <c r="B344" s="10">
        <f>IF(C344&gt;0.01,EDATE(B343,12/ZahlungenProJahr),"")</f>
        <v>0</v>
      </c>
      <c r="C344" s="11">
        <f>I343</f>
        <v>0</v>
      </c>
      <c r="D344" s="11">
        <f>IF(C344&gt;0.01, MIN(Rate, C344*(1+Jahreszins/ZahlungenProJahr)), 0)</f>
        <v>0</v>
      </c>
      <c r="E344" s="11">
        <f>IF(C344&gt;0.01, C344*Jahreszins/ZahlungenProJahr, 0)</f>
        <v>0</v>
      </c>
      <c r="F344" s="11">
        <f>IF(C344&gt;0.01, D344-E344, 0)</f>
        <v>0</v>
      </c>
      <c r="G344" s="12"/>
      <c r="H344" s="11">
        <f>SUM(F344,G344)</f>
        <v>0</v>
      </c>
      <c r="I344" s="11">
        <f>C344-H344</f>
        <v>0</v>
      </c>
    </row>
    <row r="345" spans="1:9">
      <c r="A345">
        <f>IF(C345&gt;0.01, 344, "")</f>
        <v>0</v>
      </c>
      <c r="B345" s="10">
        <f>IF(C345&gt;0.01,EDATE(B344,12/ZahlungenProJahr),"")</f>
        <v>0</v>
      </c>
      <c r="C345" s="11">
        <f>I344</f>
        <v>0</v>
      </c>
      <c r="D345" s="11">
        <f>IF(C345&gt;0.01, MIN(Rate, C345*(1+Jahreszins/ZahlungenProJahr)), 0)</f>
        <v>0</v>
      </c>
      <c r="E345" s="11">
        <f>IF(C345&gt;0.01, C345*Jahreszins/ZahlungenProJahr, 0)</f>
        <v>0</v>
      </c>
      <c r="F345" s="11">
        <f>IF(C345&gt;0.01, D345-E345, 0)</f>
        <v>0</v>
      </c>
      <c r="G345" s="12"/>
      <c r="H345" s="11">
        <f>SUM(F345,G345)</f>
        <v>0</v>
      </c>
      <c r="I345" s="11">
        <f>C345-H345</f>
        <v>0</v>
      </c>
    </row>
    <row r="346" spans="1:9">
      <c r="A346">
        <f>IF(C346&gt;0.01, 345, "")</f>
        <v>0</v>
      </c>
      <c r="B346" s="10">
        <f>IF(C346&gt;0.01,EDATE(B345,12/ZahlungenProJahr),"")</f>
        <v>0</v>
      </c>
      <c r="C346" s="11">
        <f>I345</f>
        <v>0</v>
      </c>
      <c r="D346" s="11">
        <f>IF(C346&gt;0.01, MIN(Rate, C346*(1+Jahreszins/ZahlungenProJahr)), 0)</f>
        <v>0</v>
      </c>
      <c r="E346" s="11">
        <f>IF(C346&gt;0.01, C346*Jahreszins/ZahlungenProJahr, 0)</f>
        <v>0</v>
      </c>
      <c r="F346" s="11">
        <f>IF(C346&gt;0.01, D346-E346, 0)</f>
        <v>0</v>
      </c>
      <c r="G346" s="12"/>
      <c r="H346" s="11">
        <f>SUM(F346,G346)</f>
        <v>0</v>
      </c>
      <c r="I346" s="11">
        <f>C346-H346</f>
        <v>0</v>
      </c>
    </row>
    <row r="347" spans="1:9">
      <c r="A347">
        <f>IF(C347&gt;0.01, 346, "")</f>
        <v>0</v>
      </c>
      <c r="B347" s="10">
        <f>IF(C347&gt;0.01,EDATE(B346,12/ZahlungenProJahr),"")</f>
        <v>0</v>
      </c>
      <c r="C347" s="11">
        <f>I346</f>
        <v>0</v>
      </c>
      <c r="D347" s="11">
        <f>IF(C347&gt;0.01, MIN(Rate, C347*(1+Jahreszins/ZahlungenProJahr)), 0)</f>
        <v>0</v>
      </c>
      <c r="E347" s="11">
        <f>IF(C347&gt;0.01, C347*Jahreszins/ZahlungenProJahr, 0)</f>
        <v>0</v>
      </c>
      <c r="F347" s="11">
        <f>IF(C347&gt;0.01, D347-E347, 0)</f>
        <v>0</v>
      </c>
      <c r="G347" s="12"/>
      <c r="H347" s="11">
        <f>SUM(F347,G347)</f>
        <v>0</v>
      </c>
      <c r="I347" s="11">
        <f>C347-H347</f>
        <v>0</v>
      </c>
    </row>
    <row r="348" spans="1:9">
      <c r="A348">
        <f>IF(C348&gt;0.01, 347, "")</f>
        <v>0</v>
      </c>
      <c r="B348" s="10">
        <f>IF(C348&gt;0.01,EDATE(B347,12/ZahlungenProJahr),"")</f>
        <v>0</v>
      </c>
      <c r="C348" s="11">
        <f>I347</f>
        <v>0</v>
      </c>
      <c r="D348" s="11">
        <f>IF(C348&gt;0.01, MIN(Rate, C348*(1+Jahreszins/ZahlungenProJahr)), 0)</f>
        <v>0</v>
      </c>
      <c r="E348" s="11">
        <f>IF(C348&gt;0.01, C348*Jahreszins/ZahlungenProJahr, 0)</f>
        <v>0</v>
      </c>
      <c r="F348" s="11">
        <f>IF(C348&gt;0.01, D348-E348, 0)</f>
        <v>0</v>
      </c>
      <c r="G348" s="12"/>
      <c r="H348" s="11">
        <f>SUM(F348,G348)</f>
        <v>0</v>
      </c>
      <c r="I348" s="11">
        <f>C348-H348</f>
        <v>0</v>
      </c>
    </row>
    <row r="349" spans="1:9">
      <c r="A349">
        <f>IF(C349&gt;0.01, 348, "")</f>
        <v>0</v>
      </c>
      <c r="B349" s="10">
        <f>IF(C349&gt;0.01,EDATE(B348,12/ZahlungenProJahr),"")</f>
        <v>0</v>
      </c>
      <c r="C349" s="11">
        <f>I348</f>
        <v>0</v>
      </c>
      <c r="D349" s="11">
        <f>IF(C349&gt;0.01, MIN(Rate, C349*(1+Jahreszins/ZahlungenProJahr)), 0)</f>
        <v>0</v>
      </c>
      <c r="E349" s="11">
        <f>IF(C349&gt;0.01, C349*Jahreszins/ZahlungenProJahr, 0)</f>
        <v>0</v>
      </c>
      <c r="F349" s="11">
        <f>IF(C349&gt;0.01, D349-E349, 0)</f>
        <v>0</v>
      </c>
      <c r="G349" s="12"/>
      <c r="H349" s="11">
        <f>SUM(F349,G349)</f>
        <v>0</v>
      </c>
      <c r="I349" s="11">
        <f>C349-H349</f>
        <v>0</v>
      </c>
    </row>
    <row r="350" spans="1:9">
      <c r="A350">
        <f>IF(C350&gt;0.01, 349, "")</f>
        <v>0</v>
      </c>
      <c r="B350" s="10">
        <f>IF(C350&gt;0.01,EDATE(B349,12/ZahlungenProJahr),"")</f>
        <v>0</v>
      </c>
      <c r="C350" s="11">
        <f>I349</f>
        <v>0</v>
      </c>
      <c r="D350" s="11">
        <f>IF(C350&gt;0.01, MIN(Rate, C350*(1+Jahreszins/ZahlungenProJahr)), 0)</f>
        <v>0</v>
      </c>
      <c r="E350" s="11">
        <f>IF(C350&gt;0.01, C350*Jahreszins/ZahlungenProJahr, 0)</f>
        <v>0</v>
      </c>
      <c r="F350" s="11">
        <f>IF(C350&gt;0.01, D350-E350, 0)</f>
        <v>0</v>
      </c>
      <c r="G350" s="12"/>
      <c r="H350" s="11">
        <f>SUM(F350,G350)</f>
        <v>0</v>
      </c>
      <c r="I350" s="11">
        <f>C350-H350</f>
        <v>0</v>
      </c>
    </row>
    <row r="351" spans="1:9">
      <c r="A351">
        <f>IF(C351&gt;0.01, 350, "")</f>
        <v>0</v>
      </c>
      <c r="B351" s="10">
        <f>IF(C351&gt;0.01,EDATE(B350,12/ZahlungenProJahr),"")</f>
        <v>0</v>
      </c>
      <c r="C351" s="11">
        <f>I350</f>
        <v>0</v>
      </c>
      <c r="D351" s="11">
        <f>IF(C351&gt;0.01, MIN(Rate, C351*(1+Jahreszins/ZahlungenProJahr)), 0)</f>
        <v>0</v>
      </c>
      <c r="E351" s="11">
        <f>IF(C351&gt;0.01, C351*Jahreszins/ZahlungenProJahr, 0)</f>
        <v>0</v>
      </c>
      <c r="F351" s="11">
        <f>IF(C351&gt;0.01, D351-E351, 0)</f>
        <v>0</v>
      </c>
      <c r="G351" s="12"/>
      <c r="H351" s="11">
        <f>SUM(F351,G351)</f>
        <v>0</v>
      </c>
      <c r="I351" s="11">
        <f>C351-H351</f>
        <v>0</v>
      </c>
    </row>
    <row r="352" spans="1:9">
      <c r="A352">
        <f>IF(C352&gt;0.01, 351, "")</f>
        <v>0</v>
      </c>
      <c r="B352" s="10">
        <f>IF(C352&gt;0.01,EDATE(B351,12/ZahlungenProJahr),"")</f>
        <v>0</v>
      </c>
      <c r="C352" s="11">
        <f>I351</f>
        <v>0</v>
      </c>
      <c r="D352" s="11">
        <f>IF(C352&gt;0.01, MIN(Rate, C352*(1+Jahreszins/ZahlungenProJahr)), 0)</f>
        <v>0</v>
      </c>
      <c r="E352" s="11">
        <f>IF(C352&gt;0.01, C352*Jahreszins/ZahlungenProJahr, 0)</f>
        <v>0</v>
      </c>
      <c r="F352" s="11">
        <f>IF(C352&gt;0.01, D352-E352, 0)</f>
        <v>0</v>
      </c>
      <c r="G352" s="12"/>
      <c r="H352" s="11">
        <f>SUM(F352,G352)</f>
        <v>0</v>
      </c>
      <c r="I352" s="11">
        <f>C352-H352</f>
        <v>0</v>
      </c>
    </row>
    <row r="353" spans="1:9">
      <c r="A353">
        <f>IF(C353&gt;0.01, 352, "")</f>
        <v>0</v>
      </c>
      <c r="B353" s="10">
        <f>IF(C353&gt;0.01,EDATE(B352,12/ZahlungenProJahr),"")</f>
        <v>0</v>
      </c>
      <c r="C353" s="11">
        <f>I352</f>
        <v>0</v>
      </c>
      <c r="D353" s="11">
        <f>IF(C353&gt;0.01, MIN(Rate, C353*(1+Jahreszins/ZahlungenProJahr)), 0)</f>
        <v>0</v>
      </c>
      <c r="E353" s="11">
        <f>IF(C353&gt;0.01, C353*Jahreszins/ZahlungenProJahr, 0)</f>
        <v>0</v>
      </c>
      <c r="F353" s="11">
        <f>IF(C353&gt;0.01, D353-E353, 0)</f>
        <v>0</v>
      </c>
      <c r="G353" s="12"/>
      <c r="H353" s="11">
        <f>SUM(F353,G353)</f>
        <v>0</v>
      </c>
      <c r="I353" s="11">
        <f>C353-H353</f>
        <v>0</v>
      </c>
    </row>
    <row r="354" spans="1:9">
      <c r="A354">
        <f>IF(C354&gt;0.01, 353, "")</f>
        <v>0</v>
      </c>
      <c r="B354" s="10">
        <f>IF(C354&gt;0.01,EDATE(B353,12/ZahlungenProJahr),"")</f>
        <v>0</v>
      </c>
      <c r="C354" s="11">
        <f>I353</f>
        <v>0</v>
      </c>
      <c r="D354" s="11">
        <f>IF(C354&gt;0.01, MIN(Rate, C354*(1+Jahreszins/ZahlungenProJahr)), 0)</f>
        <v>0</v>
      </c>
      <c r="E354" s="11">
        <f>IF(C354&gt;0.01, C354*Jahreszins/ZahlungenProJahr, 0)</f>
        <v>0</v>
      </c>
      <c r="F354" s="11">
        <f>IF(C354&gt;0.01, D354-E354, 0)</f>
        <v>0</v>
      </c>
      <c r="G354" s="12"/>
      <c r="H354" s="11">
        <f>SUM(F354,G354)</f>
        <v>0</v>
      </c>
      <c r="I354" s="11">
        <f>C354-H354</f>
        <v>0</v>
      </c>
    </row>
    <row r="355" spans="1:9">
      <c r="A355">
        <f>IF(C355&gt;0.01, 354, "")</f>
        <v>0</v>
      </c>
      <c r="B355" s="10">
        <f>IF(C355&gt;0.01,EDATE(B354,12/ZahlungenProJahr),"")</f>
        <v>0</v>
      </c>
      <c r="C355" s="11">
        <f>I354</f>
        <v>0</v>
      </c>
      <c r="D355" s="11">
        <f>IF(C355&gt;0.01, MIN(Rate, C355*(1+Jahreszins/ZahlungenProJahr)), 0)</f>
        <v>0</v>
      </c>
      <c r="E355" s="11">
        <f>IF(C355&gt;0.01, C355*Jahreszins/ZahlungenProJahr, 0)</f>
        <v>0</v>
      </c>
      <c r="F355" s="11">
        <f>IF(C355&gt;0.01, D355-E355, 0)</f>
        <v>0</v>
      </c>
      <c r="G355" s="12"/>
      <c r="H355" s="11">
        <f>SUM(F355,G355)</f>
        <v>0</v>
      </c>
      <c r="I355" s="11">
        <f>C355-H355</f>
        <v>0</v>
      </c>
    </row>
    <row r="356" spans="1:9">
      <c r="A356">
        <f>IF(C356&gt;0.01, 355, "")</f>
        <v>0</v>
      </c>
      <c r="B356" s="10">
        <f>IF(C356&gt;0.01,EDATE(B355,12/ZahlungenProJahr),"")</f>
        <v>0</v>
      </c>
      <c r="C356" s="11">
        <f>I355</f>
        <v>0</v>
      </c>
      <c r="D356" s="11">
        <f>IF(C356&gt;0.01, MIN(Rate, C356*(1+Jahreszins/ZahlungenProJahr)), 0)</f>
        <v>0</v>
      </c>
      <c r="E356" s="11">
        <f>IF(C356&gt;0.01, C356*Jahreszins/ZahlungenProJahr, 0)</f>
        <v>0</v>
      </c>
      <c r="F356" s="11">
        <f>IF(C356&gt;0.01, D356-E356, 0)</f>
        <v>0</v>
      </c>
      <c r="G356" s="12"/>
      <c r="H356" s="11">
        <f>SUM(F356,G356)</f>
        <v>0</v>
      </c>
      <c r="I356" s="11">
        <f>C356-H356</f>
        <v>0</v>
      </c>
    </row>
    <row r="357" spans="1:9">
      <c r="A357">
        <f>IF(C357&gt;0.01, 356, "")</f>
        <v>0</v>
      </c>
      <c r="B357" s="10">
        <f>IF(C357&gt;0.01,EDATE(B356,12/ZahlungenProJahr),"")</f>
        <v>0</v>
      </c>
      <c r="C357" s="11">
        <f>I356</f>
        <v>0</v>
      </c>
      <c r="D357" s="11">
        <f>IF(C357&gt;0.01, MIN(Rate, C357*(1+Jahreszins/ZahlungenProJahr)), 0)</f>
        <v>0</v>
      </c>
      <c r="E357" s="11">
        <f>IF(C357&gt;0.01, C357*Jahreszins/ZahlungenProJahr, 0)</f>
        <v>0</v>
      </c>
      <c r="F357" s="11">
        <f>IF(C357&gt;0.01, D357-E357, 0)</f>
        <v>0</v>
      </c>
      <c r="G357" s="12"/>
      <c r="H357" s="11">
        <f>SUM(F357,G357)</f>
        <v>0</v>
      </c>
      <c r="I357" s="11">
        <f>C357-H357</f>
        <v>0</v>
      </c>
    </row>
    <row r="358" spans="1:9">
      <c r="A358">
        <f>IF(C358&gt;0.01, 357, "")</f>
        <v>0</v>
      </c>
      <c r="B358" s="10">
        <f>IF(C358&gt;0.01,EDATE(B357,12/ZahlungenProJahr),"")</f>
        <v>0</v>
      </c>
      <c r="C358" s="11">
        <f>I357</f>
        <v>0</v>
      </c>
      <c r="D358" s="11">
        <f>IF(C358&gt;0.01, MIN(Rate, C358*(1+Jahreszins/ZahlungenProJahr)), 0)</f>
        <v>0</v>
      </c>
      <c r="E358" s="11">
        <f>IF(C358&gt;0.01, C358*Jahreszins/ZahlungenProJahr, 0)</f>
        <v>0</v>
      </c>
      <c r="F358" s="11">
        <f>IF(C358&gt;0.01, D358-E358, 0)</f>
        <v>0</v>
      </c>
      <c r="G358" s="12"/>
      <c r="H358" s="11">
        <f>SUM(F358,G358)</f>
        <v>0</v>
      </c>
      <c r="I358" s="11">
        <f>C358-H358</f>
        <v>0</v>
      </c>
    </row>
    <row r="359" spans="1:9">
      <c r="A359">
        <f>IF(C359&gt;0.01, 358, "")</f>
        <v>0</v>
      </c>
      <c r="B359" s="10">
        <f>IF(C359&gt;0.01,EDATE(B358,12/ZahlungenProJahr),"")</f>
        <v>0</v>
      </c>
      <c r="C359" s="11">
        <f>I358</f>
        <v>0</v>
      </c>
      <c r="D359" s="11">
        <f>IF(C359&gt;0.01, MIN(Rate, C359*(1+Jahreszins/ZahlungenProJahr)), 0)</f>
        <v>0</v>
      </c>
      <c r="E359" s="11">
        <f>IF(C359&gt;0.01, C359*Jahreszins/ZahlungenProJahr, 0)</f>
        <v>0</v>
      </c>
      <c r="F359" s="11">
        <f>IF(C359&gt;0.01, D359-E359, 0)</f>
        <v>0</v>
      </c>
      <c r="G359" s="12"/>
      <c r="H359" s="11">
        <f>SUM(F359,G359)</f>
        <v>0</v>
      </c>
      <c r="I359" s="11">
        <f>C359-H359</f>
        <v>0</v>
      </c>
    </row>
    <row r="360" spans="1:9">
      <c r="A360">
        <f>IF(C360&gt;0.01, 359, "")</f>
        <v>0</v>
      </c>
      <c r="B360" s="10">
        <f>IF(C360&gt;0.01,EDATE(B359,12/ZahlungenProJahr),"")</f>
        <v>0</v>
      </c>
      <c r="C360" s="11">
        <f>I359</f>
        <v>0</v>
      </c>
      <c r="D360" s="11">
        <f>IF(C360&gt;0.01, MIN(Rate, C360*(1+Jahreszins/ZahlungenProJahr)), 0)</f>
        <v>0</v>
      </c>
      <c r="E360" s="11">
        <f>IF(C360&gt;0.01, C360*Jahreszins/ZahlungenProJahr, 0)</f>
        <v>0</v>
      </c>
      <c r="F360" s="11">
        <f>IF(C360&gt;0.01, D360-E360, 0)</f>
        <v>0</v>
      </c>
      <c r="G360" s="12"/>
      <c r="H360" s="11">
        <f>SUM(F360,G360)</f>
        <v>0</v>
      </c>
      <c r="I360" s="11">
        <f>C360-H360</f>
        <v>0</v>
      </c>
    </row>
    <row r="361" spans="1:9">
      <c r="A361">
        <f>IF(C361&gt;0.01, 360, "")</f>
        <v>0</v>
      </c>
      <c r="B361" s="10">
        <f>IF(C361&gt;0.01,EDATE(B360,12/ZahlungenProJahr),"")</f>
        <v>0</v>
      </c>
      <c r="C361" s="11">
        <f>I360</f>
        <v>0</v>
      </c>
      <c r="D361" s="11">
        <f>IF(C361&gt;0.01, MIN(Rate, C361*(1+Jahreszins/ZahlungenProJahr)), 0)</f>
        <v>0</v>
      </c>
      <c r="E361" s="11">
        <f>IF(C361&gt;0.01, C361*Jahreszins/ZahlungenProJahr, 0)</f>
        <v>0</v>
      </c>
      <c r="F361" s="11">
        <f>IF(C361&gt;0.01, D361-E361, 0)</f>
        <v>0</v>
      </c>
      <c r="G361" s="12"/>
      <c r="H361" s="11">
        <f>SUM(F361,G361)</f>
        <v>0</v>
      </c>
      <c r="I361" s="11">
        <f>C361-H361</f>
        <v>0</v>
      </c>
    </row>
    <row r="362" spans="1:9">
      <c r="A362">
        <f>IF(C362&gt;0.01, 361, "")</f>
        <v>0</v>
      </c>
      <c r="B362" s="10">
        <f>IF(C362&gt;0.01,EDATE(B361,12/ZahlungenProJahr),"")</f>
        <v>0</v>
      </c>
      <c r="C362" s="11">
        <f>I361</f>
        <v>0</v>
      </c>
      <c r="D362" s="11">
        <f>IF(C362&gt;0.01, MIN(Rate, C362*(1+Jahreszins/ZahlungenProJahr)), 0)</f>
        <v>0</v>
      </c>
      <c r="E362" s="11">
        <f>IF(C362&gt;0.01, C362*Jahreszins/ZahlungenProJahr, 0)</f>
        <v>0</v>
      </c>
      <c r="F362" s="11">
        <f>IF(C362&gt;0.01, D362-E362, 0)</f>
        <v>0</v>
      </c>
      <c r="G362" s="12"/>
      <c r="H362" s="11">
        <f>SUM(F362,G362)</f>
        <v>0</v>
      </c>
      <c r="I362" s="11">
        <f>C362-H362</f>
        <v>0</v>
      </c>
    </row>
    <row r="363" spans="1:9">
      <c r="A363">
        <f>IF(C363&gt;0.01, 362, "")</f>
        <v>0</v>
      </c>
      <c r="B363" s="10">
        <f>IF(C363&gt;0.01,EDATE(B362,12/ZahlungenProJahr),"")</f>
        <v>0</v>
      </c>
      <c r="C363" s="11">
        <f>I362</f>
        <v>0</v>
      </c>
      <c r="D363" s="11">
        <f>IF(C363&gt;0.01, MIN(Rate, C363*(1+Jahreszins/ZahlungenProJahr)), 0)</f>
        <v>0</v>
      </c>
      <c r="E363" s="11">
        <f>IF(C363&gt;0.01, C363*Jahreszins/ZahlungenProJahr, 0)</f>
        <v>0</v>
      </c>
      <c r="F363" s="11">
        <f>IF(C363&gt;0.01, D363-E363, 0)</f>
        <v>0</v>
      </c>
      <c r="G363" s="12"/>
      <c r="H363" s="11">
        <f>SUM(F363,G363)</f>
        <v>0</v>
      </c>
      <c r="I363" s="11">
        <f>C363-H363</f>
        <v>0</v>
      </c>
    </row>
    <row r="364" spans="1:9">
      <c r="A364">
        <f>IF(C364&gt;0.01, 363, "")</f>
        <v>0</v>
      </c>
      <c r="B364" s="10">
        <f>IF(C364&gt;0.01,EDATE(B363,12/ZahlungenProJahr),"")</f>
        <v>0</v>
      </c>
      <c r="C364" s="11">
        <f>I363</f>
        <v>0</v>
      </c>
      <c r="D364" s="11">
        <f>IF(C364&gt;0.01, MIN(Rate, C364*(1+Jahreszins/ZahlungenProJahr)), 0)</f>
        <v>0</v>
      </c>
      <c r="E364" s="11">
        <f>IF(C364&gt;0.01, C364*Jahreszins/ZahlungenProJahr, 0)</f>
        <v>0</v>
      </c>
      <c r="F364" s="11">
        <f>IF(C364&gt;0.01, D364-E364, 0)</f>
        <v>0</v>
      </c>
      <c r="G364" s="12"/>
      <c r="H364" s="11">
        <f>SUM(F364,G364)</f>
        <v>0</v>
      </c>
      <c r="I364" s="11">
        <f>C364-H364</f>
        <v>0</v>
      </c>
    </row>
    <row r="365" spans="1:9">
      <c r="A365">
        <f>IF(C365&gt;0.01, 364, "")</f>
        <v>0</v>
      </c>
      <c r="B365" s="10">
        <f>IF(C365&gt;0.01,EDATE(B364,12/ZahlungenProJahr),"")</f>
        <v>0</v>
      </c>
      <c r="C365" s="11">
        <f>I364</f>
        <v>0</v>
      </c>
      <c r="D365" s="11">
        <f>IF(C365&gt;0.01, MIN(Rate, C365*(1+Jahreszins/ZahlungenProJahr)), 0)</f>
        <v>0</v>
      </c>
      <c r="E365" s="11">
        <f>IF(C365&gt;0.01, C365*Jahreszins/ZahlungenProJahr, 0)</f>
        <v>0</v>
      </c>
      <c r="F365" s="11">
        <f>IF(C365&gt;0.01, D365-E365, 0)</f>
        <v>0</v>
      </c>
      <c r="G365" s="12"/>
      <c r="H365" s="11">
        <f>SUM(F365,G365)</f>
        <v>0</v>
      </c>
      <c r="I365" s="11">
        <f>C365-H365</f>
        <v>0</v>
      </c>
    </row>
    <row r="366" spans="1:9">
      <c r="A366">
        <f>IF(C366&gt;0.01, 365, "")</f>
        <v>0</v>
      </c>
      <c r="B366" s="10">
        <f>IF(C366&gt;0.01,EDATE(B365,12/ZahlungenProJahr),"")</f>
        <v>0</v>
      </c>
      <c r="C366" s="11">
        <f>I365</f>
        <v>0</v>
      </c>
      <c r="D366" s="11">
        <f>IF(C366&gt;0.01, MIN(Rate, C366*(1+Jahreszins/ZahlungenProJahr)), 0)</f>
        <v>0</v>
      </c>
      <c r="E366" s="11">
        <f>IF(C366&gt;0.01, C366*Jahreszins/ZahlungenProJahr, 0)</f>
        <v>0</v>
      </c>
      <c r="F366" s="11">
        <f>IF(C366&gt;0.01, D366-E366, 0)</f>
        <v>0</v>
      </c>
      <c r="G366" s="12"/>
      <c r="H366" s="11">
        <f>SUM(F366,G366)</f>
        <v>0</v>
      </c>
      <c r="I366" s="11">
        <f>C366-H366</f>
        <v>0</v>
      </c>
    </row>
    <row r="367" spans="1:9">
      <c r="A367">
        <f>IF(C367&gt;0.01, 366, "")</f>
        <v>0</v>
      </c>
      <c r="B367" s="10">
        <f>IF(C367&gt;0.01,EDATE(B366,12/ZahlungenProJahr),"")</f>
        <v>0</v>
      </c>
      <c r="C367" s="11">
        <f>I366</f>
        <v>0</v>
      </c>
      <c r="D367" s="11">
        <f>IF(C367&gt;0.01, MIN(Rate, C367*(1+Jahreszins/ZahlungenProJahr)), 0)</f>
        <v>0</v>
      </c>
      <c r="E367" s="11">
        <f>IF(C367&gt;0.01, C367*Jahreszins/ZahlungenProJahr, 0)</f>
        <v>0</v>
      </c>
      <c r="F367" s="11">
        <f>IF(C367&gt;0.01, D367-E367, 0)</f>
        <v>0</v>
      </c>
      <c r="G367" s="12"/>
      <c r="H367" s="11">
        <f>SUM(F367,G367)</f>
        <v>0</v>
      </c>
      <c r="I367" s="11">
        <f>C367-H367</f>
        <v>0</v>
      </c>
    </row>
    <row r="368" spans="1:9">
      <c r="A368">
        <f>IF(C368&gt;0.01, 367, "")</f>
        <v>0</v>
      </c>
      <c r="B368" s="10">
        <f>IF(C368&gt;0.01,EDATE(B367,12/ZahlungenProJahr),"")</f>
        <v>0</v>
      </c>
      <c r="C368" s="11">
        <f>I367</f>
        <v>0</v>
      </c>
      <c r="D368" s="11">
        <f>IF(C368&gt;0.01, MIN(Rate, C368*(1+Jahreszins/ZahlungenProJahr)), 0)</f>
        <v>0</v>
      </c>
      <c r="E368" s="11">
        <f>IF(C368&gt;0.01, C368*Jahreszins/ZahlungenProJahr, 0)</f>
        <v>0</v>
      </c>
      <c r="F368" s="11">
        <f>IF(C368&gt;0.01, D368-E368, 0)</f>
        <v>0</v>
      </c>
      <c r="G368" s="12"/>
      <c r="H368" s="11">
        <f>SUM(F368,G368)</f>
        <v>0</v>
      </c>
      <c r="I368" s="11">
        <f>C368-H368</f>
        <v>0</v>
      </c>
    </row>
    <row r="369" spans="1:9">
      <c r="A369">
        <f>IF(C369&gt;0.01, 368, "")</f>
        <v>0</v>
      </c>
      <c r="B369" s="10">
        <f>IF(C369&gt;0.01,EDATE(B368,12/ZahlungenProJahr),"")</f>
        <v>0</v>
      </c>
      <c r="C369" s="11">
        <f>I368</f>
        <v>0</v>
      </c>
      <c r="D369" s="11">
        <f>IF(C369&gt;0.01, MIN(Rate, C369*(1+Jahreszins/ZahlungenProJahr)), 0)</f>
        <v>0</v>
      </c>
      <c r="E369" s="11">
        <f>IF(C369&gt;0.01, C369*Jahreszins/ZahlungenProJahr, 0)</f>
        <v>0</v>
      </c>
      <c r="F369" s="11">
        <f>IF(C369&gt;0.01, D369-E369, 0)</f>
        <v>0</v>
      </c>
      <c r="G369" s="12"/>
      <c r="H369" s="11">
        <f>SUM(F369,G369)</f>
        <v>0</v>
      </c>
      <c r="I369" s="11">
        <f>C369-H369</f>
        <v>0</v>
      </c>
    </row>
    <row r="370" spans="1:9">
      <c r="A370">
        <f>IF(C370&gt;0.01, 369, "")</f>
        <v>0</v>
      </c>
      <c r="B370" s="10">
        <f>IF(C370&gt;0.01,EDATE(B369,12/ZahlungenProJahr),"")</f>
        <v>0</v>
      </c>
      <c r="C370" s="11">
        <f>I369</f>
        <v>0</v>
      </c>
      <c r="D370" s="11">
        <f>IF(C370&gt;0.01, MIN(Rate, C370*(1+Jahreszins/ZahlungenProJahr)), 0)</f>
        <v>0</v>
      </c>
      <c r="E370" s="11">
        <f>IF(C370&gt;0.01, C370*Jahreszins/ZahlungenProJahr, 0)</f>
        <v>0</v>
      </c>
      <c r="F370" s="11">
        <f>IF(C370&gt;0.01, D370-E370, 0)</f>
        <v>0</v>
      </c>
      <c r="G370" s="12"/>
      <c r="H370" s="11">
        <f>SUM(F370,G370)</f>
        <v>0</v>
      </c>
      <c r="I370" s="11">
        <f>C370-H370</f>
        <v>0</v>
      </c>
    </row>
    <row r="371" spans="1:9">
      <c r="A371">
        <f>IF(C371&gt;0.01, 370, "")</f>
        <v>0</v>
      </c>
      <c r="B371" s="10">
        <f>IF(C371&gt;0.01,EDATE(B370,12/ZahlungenProJahr),"")</f>
        <v>0</v>
      </c>
      <c r="C371" s="11">
        <f>I370</f>
        <v>0</v>
      </c>
      <c r="D371" s="11">
        <f>IF(C371&gt;0.01, MIN(Rate, C371*(1+Jahreszins/ZahlungenProJahr)), 0)</f>
        <v>0</v>
      </c>
      <c r="E371" s="11">
        <f>IF(C371&gt;0.01, C371*Jahreszins/ZahlungenProJahr, 0)</f>
        <v>0</v>
      </c>
      <c r="F371" s="11">
        <f>IF(C371&gt;0.01, D371-E371, 0)</f>
        <v>0</v>
      </c>
      <c r="G371" s="12"/>
      <c r="H371" s="11">
        <f>SUM(F371,G371)</f>
        <v>0</v>
      </c>
      <c r="I371" s="11">
        <f>C371-H371</f>
        <v>0</v>
      </c>
    </row>
    <row r="372" spans="1:9">
      <c r="A372">
        <f>IF(C372&gt;0.01, 371, "")</f>
        <v>0</v>
      </c>
      <c r="B372" s="10">
        <f>IF(C372&gt;0.01,EDATE(B371,12/ZahlungenProJahr),"")</f>
        <v>0</v>
      </c>
      <c r="C372" s="11">
        <f>I371</f>
        <v>0</v>
      </c>
      <c r="D372" s="11">
        <f>IF(C372&gt;0.01, MIN(Rate, C372*(1+Jahreszins/ZahlungenProJahr)), 0)</f>
        <v>0</v>
      </c>
      <c r="E372" s="11">
        <f>IF(C372&gt;0.01, C372*Jahreszins/ZahlungenProJahr, 0)</f>
        <v>0</v>
      </c>
      <c r="F372" s="11">
        <f>IF(C372&gt;0.01, D372-E372, 0)</f>
        <v>0</v>
      </c>
      <c r="G372" s="12"/>
      <c r="H372" s="11">
        <f>SUM(F372,G372)</f>
        <v>0</v>
      </c>
      <c r="I372" s="11">
        <f>C372-H372</f>
        <v>0</v>
      </c>
    </row>
    <row r="373" spans="1:9">
      <c r="A373">
        <f>IF(C373&gt;0.01, 372, "")</f>
        <v>0</v>
      </c>
      <c r="B373" s="10">
        <f>IF(C373&gt;0.01,EDATE(B372,12/ZahlungenProJahr),"")</f>
        <v>0</v>
      </c>
      <c r="C373" s="11">
        <f>I372</f>
        <v>0</v>
      </c>
      <c r="D373" s="11">
        <f>IF(C373&gt;0.01, MIN(Rate, C373*(1+Jahreszins/ZahlungenProJahr)), 0)</f>
        <v>0</v>
      </c>
      <c r="E373" s="11">
        <f>IF(C373&gt;0.01, C373*Jahreszins/ZahlungenProJahr, 0)</f>
        <v>0</v>
      </c>
      <c r="F373" s="11">
        <f>IF(C373&gt;0.01, D373-E373, 0)</f>
        <v>0</v>
      </c>
      <c r="G373" s="12"/>
      <c r="H373" s="11">
        <f>SUM(F373,G373)</f>
        <v>0</v>
      </c>
      <c r="I373" s="11">
        <f>C373-H373</f>
        <v>0</v>
      </c>
    </row>
    <row r="374" spans="1:9">
      <c r="A374">
        <f>IF(C374&gt;0.01, 373, "")</f>
        <v>0</v>
      </c>
      <c r="B374" s="10">
        <f>IF(C374&gt;0.01,EDATE(B373,12/ZahlungenProJahr),"")</f>
        <v>0</v>
      </c>
      <c r="C374" s="11">
        <f>I373</f>
        <v>0</v>
      </c>
      <c r="D374" s="11">
        <f>IF(C374&gt;0.01, MIN(Rate, C374*(1+Jahreszins/ZahlungenProJahr)), 0)</f>
        <v>0</v>
      </c>
      <c r="E374" s="11">
        <f>IF(C374&gt;0.01, C374*Jahreszins/ZahlungenProJahr, 0)</f>
        <v>0</v>
      </c>
      <c r="F374" s="11">
        <f>IF(C374&gt;0.01, D374-E374, 0)</f>
        <v>0</v>
      </c>
      <c r="G374" s="12"/>
      <c r="H374" s="11">
        <f>SUM(F374,G374)</f>
        <v>0</v>
      </c>
      <c r="I374" s="11">
        <f>C374-H374</f>
        <v>0</v>
      </c>
    </row>
    <row r="375" spans="1:9">
      <c r="A375">
        <f>IF(C375&gt;0.01, 374, "")</f>
        <v>0</v>
      </c>
      <c r="B375" s="10">
        <f>IF(C375&gt;0.01,EDATE(B374,12/ZahlungenProJahr),"")</f>
        <v>0</v>
      </c>
      <c r="C375" s="11">
        <f>I374</f>
        <v>0</v>
      </c>
      <c r="D375" s="11">
        <f>IF(C375&gt;0.01, MIN(Rate, C375*(1+Jahreszins/ZahlungenProJahr)), 0)</f>
        <v>0</v>
      </c>
      <c r="E375" s="11">
        <f>IF(C375&gt;0.01, C375*Jahreszins/ZahlungenProJahr, 0)</f>
        <v>0</v>
      </c>
      <c r="F375" s="11">
        <f>IF(C375&gt;0.01, D375-E375, 0)</f>
        <v>0</v>
      </c>
      <c r="G375" s="12"/>
      <c r="H375" s="11">
        <f>SUM(F375,G375)</f>
        <v>0</v>
      </c>
      <c r="I375" s="11">
        <f>C375-H375</f>
        <v>0</v>
      </c>
    </row>
    <row r="376" spans="1:9">
      <c r="A376">
        <f>IF(C376&gt;0.01, 375, "")</f>
        <v>0</v>
      </c>
      <c r="B376" s="10">
        <f>IF(C376&gt;0.01,EDATE(B375,12/ZahlungenProJahr),"")</f>
        <v>0</v>
      </c>
      <c r="C376" s="11">
        <f>I375</f>
        <v>0</v>
      </c>
      <c r="D376" s="11">
        <f>IF(C376&gt;0.01, MIN(Rate, C376*(1+Jahreszins/ZahlungenProJahr)), 0)</f>
        <v>0</v>
      </c>
      <c r="E376" s="11">
        <f>IF(C376&gt;0.01, C376*Jahreszins/ZahlungenProJahr, 0)</f>
        <v>0</v>
      </c>
      <c r="F376" s="11">
        <f>IF(C376&gt;0.01, D376-E376, 0)</f>
        <v>0</v>
      </c>
      <c r="G376" s="12"/>
      <c r="H376" s="11">
        <f>SUM(F376,G376)</f>
        <v>0</v>
      </c>
      <c r="I376" s="11">
        <f>C376-H376</f>
        <v>0</v>
      </c>
    </row>
    <row r="377" spans="1:9">
      <c r="A377">
        <f>IF(C377&gt;0.01, 376, "")</f>
        <v>0</v>
      </c>
      <c r="B377" s="10">
        <f>IF(C377&gt;0.01,EDATE(B376,12/ZahlungenProJahr),"")</f>
        <v>0</v>
      </c>
      <c r="C377" s="11">
        <f>I376</f>
        <v>0</v>
      </c>
      <c r="D377" s="11">
        <f>IF(C377&gt;0.01, MIN(Rate, C377*(1+Jahreszins/ZahlungenProJahr)), 0)</f>
        <v>0</v>
      </c>
      <c r="E377" s="11">
        <f>IF(C377&gt;0.01, C377*Jahreszins/ZahlungenProJahr, 0)</f>
        <v>0</v>
      </c>
      <c r="F377" s="11">
        <f>IF(C377&gt;0.01, D377-E377, 0)</f>
        <v>0</v>
      </c>
      <c r="G377" s="12"/>
      <c r="H377" s="11">
        <f>SUM(F377,G377)</f>
        <v>0</v>
      </c>
      <c r="I377" s="11">
        <f>C377-H377</f>
        <v>0</v>
      </c>
    </row>
    <row r="378" spans="1:9">
      <c r="A378">
        <f>IF(C378&gt;0.01, 377, "")</f>
        <v>0</v>
      </c>
      <c r="B378" s="10">
        <f>IF(C378&gt;0.01,EDATE(B377,12/ZahlungenProJahr),"")</f>
        <v>0</v>
      </c>
      <c r="C378" s="11">
        <f>I377</f>
        <v>0</v>
      </c>
      <c r="D378" s="11">
        <f>IF(C378&gt;0.01, MIN(Rate, C378*(1+Jahreszins/ZahlungenProJahr)), 0)</f>
        <v>0</v>
      </c>
      <c r="E378" s="11">
        <f>IF(C378&gt;0.01, C378*Jahreszins/ZahlungenProJahr, 0)</f>
        <v>0</v>
      </c>
      <c r="F378" s="11">
        <f>IF(C378&gt;0.01, D378-E378, 0)</f>
        <v>0</v>
      </c>
      <c r="G378" s="12"/>
      <c r="H378" s="11">
        <f>SUM(F378,G378)</f>
        <v>0</v>
      </c>
      <c r="I378" s="11">
        <f>C378-H378</f>
        <v>0</v>
      </c>
    </row>
    <row r="379" spans="1:9">
      <c r="A379">
        <f>IF(C379&gt;0.01, 378, "")</f>
        <v>0</v>
      </c>
      <c r="B379" s="10">
        <f>IF(C379&gt;0.01,EDATE(B378,12/ZahlungenProJahr),"")</f>
        <v>0</v>
      </c>
      <c r="C379" s="11">
        <f>I378</f>
        <v>0</v>
      </c>
      <c r="D379" s="11">
        <f>IF(C379&gt;0.01, MIN(Rate, C379*(1+Jahreszins/ZahlungenProJahr)), 0)</f>
        <v>0</v>
      </c>
      <c r="E379" s="11">
        <f>IF(C379&gt;0.01, C379*Jahreszins/ZahlungenProJahr, 0)</f>
        <v>0</v>
      </c>
      <c r="F379" s="11">
        <f>IF(C379&gt;0.01, D379-E379, 0)</f>
        <v>0</v>
      </c>
      <c r="G379" s="12"/>
      <c r="H379" s="11">
        <f>SUM(F379,G379)</f>
        <v>0</v>
      </c>
      <c r="I379" s="11">
        <f>C379-H379</f>
        <v>0</v>
      </c>
    </row>
    <row r="380" spans="1:9">
      <c r="A380">
        <f>IF(C380&gt;0.01, 379, "")</f>
        <v>0</v>
      </c>
      <c r="B380" s="10">
        <f>IF(C380&gt;0.01,EDATE(B379,12/ZahlungenProJahr),"")</f>
        <v>0</v>
      </c>
      <c r="C380" s="11">
        <f>I379</f>
        <v>0</v>
      </c>
      <c r="D380" s="11">
        <f>IF(C380&gt;0.01, MIN(Rate, C380*(1+Jahreszins/ZahlungenProJahr)), 0)</f>
        <v>0</v>
      </c>
      <c r="E380" s="11">
        <f>IF(C380&gt;0.01, C380*Jahreszins/ZahlungenProJahr, 0)</f>
        <v>0</v>
      </c>
      <c r="F380" s="11">
        <f>IF(C380&gt;0.01, D380-E380, 0)</f>
        <v>0</v>
      </c>
      <c r="G380" s="12"/>
      <c r="H380" s="11">
        <f>SUM(F380,G380)</f>
        <v>0</v>
      </c>
      <c r="I380" s="11">
        <f>C380-H380</f>
        <v>0</v>
      </c>
    </row>
    <row r="381" spans="1:9">
      <c r="A381">
        <f>IF(C381&gt;0.01, 380, "")</f>
        <v>0</v>
      </c>
      <c r="B381" s="10">
        <f>IF(C381&gt;0.01,EDATE(B380,12/ZahlungenProJahr),"")</f>
        <v>0</v>
      </c>
      <c r="C381" s="11">
        <f>I380</f>
        <v>0</v>
      </c>
      <c r="D381" s="11">
        <f>IF(C381&gt;0.01, MIN(Rate, C381*(1+Jahreszins/ZahlungenProJahr)), 0)</f>
        <v>0</v>
      </c>
      <c r="E381" s="11">
        <f>IF(C381&gt;0.01, C381*Jahreszins/ZahlungenProJahr, 0)</f>
        <v>0</v>
      </c>
      <c r="F381" s="11">
        <f>IF(C381&gt;0.01, D381-E381, 0)</f>
        <v>0</v>
      </c>
      <c r="G381" s="12"/>
      <c r="H381" s="11">
        <f>SUM(F381,G381)</f>
        <v>0</v>
      </c>
      <c r="I381" s="11">
        <f>C381-H381</f>
        <v>0</v>
      </c>
    </row>
    <row r="382" spans="1:9">
      <c r="A382">
        <f>IF(C382&gt;0.01, 381, "")</f>
        <v>0</v>
      </c>
      <c r="B382" s="10">
        <f>IF(C382&gt;0.01,EDATE(B381,12/ZahlungenProJahr),"")</f>
        <v>0</v>
      </c>
      <c r="C382" s="11">
        <f>I381</f>
        <v>0</v>
      </c>
      <c r="D382" s="11">
        <f>IF(C382&gt;0.01, MIN(Rate, C382*(1+Jahreszins/ZahlungenProJahr)), 0)</f>
        <v>0</v>
      </c>
      <c r="E382" s="11">
        <f>IF(C382&gt;0.01, C382*Jahreszins/ZahlungenProJahr, 0)</f>
        <v>0</v>
      </c>
      <c r="F382" s="11">
        <f>IF(C382&gt;0.01, D382-E382, 0)</f>
        <v>0</v>
      </c>
      <c r="G382" s="12"/>
      <c r="H382" s="11">
        <f>SUM(F382,G382)</f>
        <v>0</v>
      </c>
      <c r="I382" s="11">
        <f>C382-H382</f>
        <v>0</v>
      </c>
    </row>
    <row r="383" spans="1:9">
      <c r="A383">
        <f>IF(C383&gt;0.01, 382, "")</f>
        <v>0</v>
      </c>
      <c r="B383" s="10">
        <f>IF(C383&gt;0.01,EDATE(B382,12/ZahlungenProJahr),"")</f>
        <v>0</v>
      </c>
      <c r="C383" s="11">
        <f>I382</f>
        <v>0</v>
      </c>
      <c r="D383" s="11">
        <f>IF(C383&gt;0.01, MIN(Rate, C383*(1+Jahreszins/ZahlungenProJahr)), 0)</f>
        <v>0</v>
      </c>
      <c r="E383" s="11">
        <f>IF(C383&gt;0.01, C383*Jahreszins/ZahlungenProJahr, 0)</f>
        <v>0</v>
      </c>
      <c r="F383" s="11">
        <f>IF(C383&gt;0.01, D383-E383, 0)</f>
        <v>0</v>
      </c>
      <c r="G383" s="12"/>
      <c r="H383" s="11">
        <f>SUM(F383,G383)</f>
        <v>0</v>
      </c>
      <c r="I383" s="11">
        <f>C383-H383</f>
        <v>0</v>
      </c>
    </row>
    <row r="384" spans="1:9">
      <c r="A384">
        <f>IF(C384&gt;0.01, 383, "")</f>
        <v>0</v>
      </c>
      <c r="B384" s="10">
        <f>IF(C384&gt;0.01,EDATE(B383,12/ZahlungenProJahr),"")</f>
        <v>0</v>
      </c>
      <c r="C384" s="11">
        <f>I383</f>
        <v>0</v>
      </c>
      <c r="D384" s="11">
        <f>IF(C384&gt;0.01, MIN(Rate, C384*(1+Jahreszins/ZahlungenProJahr)), 0)</f>
        <v>0</v>
      </c>
      <c r="E384" s="11">
        <f>IF(C384&gt;0.01, C384*Jahreszins/ZahlungenProJahr, 0)</f>
        <v>0</v>
      </c>
      <c r="F384" s="11">
        <f>IF(C384&gt;0.01, D384-E384, 0)</f>
        <v>0</v>
      </c>
      <c r="G384" s="12"/>
      <c r="H384" s="11">
        <f>SUM(F384,G384)</f>
        <v>0</v>
      </c>
      <c r="I384" s="11">
        <f>C384-H384</f>
        <v>0</v>
      </c>
    </row>
    <row r="385" spans="1:9">
      <c r="A385">
        <f>IF(C385&gt;0.01, 384, "")</f>
        <v>0</v>
      </c>
      <c r="B385" s="10">
        <f>IF(C385&gt;0.01,EDATE(B384,12/ZahlungenProJahr),"")</f>
        <v>0</v>
      </c>
      <c r="C385" s="11">
        <f>I384</f>
        <v>0</v>
      </c>
      <c r="D385" s="11">
        <f>IF(C385&gt;0.01, MIN(Rate, C385*(1+Jahreszins/ZahlungenProJahr)), 0)</f>
        <v>0</v>
      </c>
      <c r="E385" s="11">
        <f>IF(C385&gt;0.01, C385*Jahreszins/ZahlungenProJahr, 0)</f>
        <v>0</v>
      </c>
      <c r="F385" s="11">
        <f>IF(C385&gt;0.01, D385-E385, 0)</f>
        <v>0</v>
      </c>
      <c r="G385" s="12"/>
      <c r="H385" s="11">
        <f>SUM(F385,G385)</f>
        <v>0</v>
      </c>
      <c r="I385" s="11">
        <f>C385-H385</f>
        <v>0</v>
      </c>
    </row>
    <row r="386" spans="1:9">
      <c r="A386">
        <f>IF(C386&gt;0.01, 385, "")</f>
        <v>0</v>
      </c>
      <c r="B386" s="10">
        <f>IF(C386&gt;0.01,EDATE(B385,12/ZahlungenProJahr),"")</f>
        <v>0</v>
      </c>
      <c r="C386" s="11">
        <f>I385</f>
        <v>0</v>
      </c>
      <c r="D386" s="11">
        <f>IF(C386&gt;0.01, MIN(Rate, C386*(1+Jahreszins/ZahlungenProJahr)), 0)</f>
        <v>0</v>
      </c>
      <c r="E386" s="11">
        <f>IF(C386&gt;0.01, C386*Jahreszins/ZahlungenProJahr, 0)</f>
        <v>0</v>
      </c>
      <c r="F386" s="11">
        <f>IF(C386&gt;0.01, D386-E386, 0)</f>
        <v>0</v>
      </c>
      <c r="G386" s="12"/>
      <c r="H386" s="11">
        <f>SUM(F386,G386)</f>
        <v>0</v>
      </c>
      <c r="I386" s="11">
        <f>C386-H386</f>
        <v>0</v>
      </c>
    </row>
    <row r="387" spans="1:9">
      <c r="A387">
        <f>IF(C387&gt;0.01, 386, "")</f>
        <v>0</v>
      </c>
      <c r="B387" s="10">
        <f>IF(C387&gt;0.01,EDATE(B386,12/ZahlungenProJahr),"")</f>
        <v>0</v>
      </c>
      <c r="C387" s="11">
        <f>I386</f>
        <v>0</v>
      </c>
      <c r="D387" s="11">
        <f>IF(C387&gt;0.01, MIN(Rate, C387*(1+Jahreszins/ZahlungenProJahr)), 0)</f>
        <v>0</v>
      </c>
      <c r="E387" s="11">
        <f>IF(C387&gt;0.01, C387*Jahreszins/ZahlungenProJahr, 0)</f>
        <v>0</v>
      </c>
      <c r="F387" s="11">
        <f>IF(C387&gt;0.01, D387-E387, 0)</f>
        <v>0</v>
      </c>
      <c r="G387" s="12"/>
      <c r="H387" s="11">
        <f>SUM(F387,G387)</f>
        <v>0</v>
      </c>
      <c r="I387" s="11">
        <f>C387-H387</f>
        <v>0</v>
      </c>
    </row>
    <row r="388" spans="1:9">
      <c r="A388">
        <f>IF(C388&gt;0.01, 387, "")</f>
        <v>0</v>
      </c>
      <c r="B388" s="10">
        <f>IF(C388&gt;0.01,EDATE(B387,12/ZahlungenProJahr),"")</f>
        <v>0</v>
      </c>
      <c r="C388" s="11">
        <f>I387</f>
        <v>0</v>
      </c>
      <c r="D388" s="11">
        <f>IF(C388&gt;0.01, MIN(Rate, C388*(1+Jahreszins/ZahlungenProJahr)), 0)</f>
        <v>0</v>
      </c>
      <c r="E388" s="11">
        <f>IF(C388&gt;0.01, C388*Jahreszins/ZahlungenProJahr, 0)</f>
        <v>0</v>
      </c>
      <c r="F388" s="11">
        <f>IF(C388&gt;0.01, D388-E388, 0)</f>
        <v>0</v>
      </c>
      <c r="G388" s="12"/>
      <c r="H388" s="11">
        <f>SUM(F388,G388)</f>
        <v>0</v>
      </c>
      <c r="I388" s="11">
        <f>C388-H388</f>
        <v>0</v>
      </c>
    </row>
    <row r="389" spans="1:9">
      <c r="A389">
        <f>IF(C389&gt;0.01, 388, "")</f>
        <v>0</v>
      </c>
      <c r="B389" s="10">
        <f>IF(C389&gt;0.01,EDATE(B388,12/ZahlungenProJahr),"")</f>
        <v>0</v>
      </c>
      <c r="C389" s="11">
        <f>I388</f>
        <v>0</v>
      </c>
      <c r="D389" s="11">
        <f>IF(C389&gt;0.01, MIN(Rate, C389*(1+Jahreszins/ZahlungenProJahr)), 0)</f>
        <v>0</v>
      </c>
      <c r="E389" s="11">
        <f>IF(C389&gt;0.01, C389*Jahreszins/ZahlungenProJahr, 0)</f>
        <v>0</v>
      </c>
      <c r="F389" s="11">
        <f>IF(C389&gt;0.01, D389-E389, 0)</f>
        <v>0</v>
      </c>
      <c r="G389" s="12"/>
      <c r="H389" s="11">
        <f>SUM(F389,G389)</f>
        <v>0</v>
      </c>
      <c r="I389" s="11">
        <f>C389-H389</f>
        <v>0</v>
      </c>
    </row>
    <row r="390" spans="1:9">
      <c r="A390">
        <f>IF(C390&gt;0.01, 389, "")</f>
        <v>0</v>
      </c>
      <c r="B390" s="10">
        <f>IF(C390&gt;0.01,EDATE(B389,12/ZahlungenProJahr),"")</f>
        <v>0</v>
      </c>
      <c r="C390" s="11">
        <f>I389</f>
        <v>0</v>
      </c>
      <c r="D390" s="11">
        <f>IF(C390&gt;0.01, MIN(Rate, C390*(1+Jahreszins/ZahlungenProJahr)), 0)</f>
        <v>0</v>
      </c>
      <c r="E390" s="11">
        <f>IF(C390&gt;0.01, C390*Jahreszins/ZahlungenProJahr, 0)</f>
        <v>0</v>
      </c>
      <c r="F390" s="11">
        <f>IF(C390&gt;0.01, D390-E390, 0)</f>
        <v>0</v>
      </c>
      <c r="G390" s="12"/>
      <c r="H390" s="11">
        <f>SUM(F390,G390)</f>
        <v>0</v>
      </c>
      <c r="I390" s="11">
        <f>C390-H390</f>
        <v>0</v>
      </c>
    </row>
    <row r="391" spans="1:9">
      <c r="A391">
        <f>IF(C391&gt;0.01, 390, "")</f>
        <v>0</v>
      </c>
      <c r="B391" s="10">
        <f>IF(C391&gt;0.01,EDATE(B390,12/ZahlungenProJahr),"")</f>
        <v>0</v>
      </c>
      <c r="C391" s="11">
        <f>I390</f>
        <v>0</v>
      </c>
      <c r="D391" s="11">
        <f>IF(C391&gt;0.01, MIN(Rate, C391*(1+Jahreszins/ZahlungenProJahr)), 0)</f>
        <v>0</v>
      </c>
      <c r="E391" s="11">
        <f>IF(C391&gt;0.01, C391*Jahreszins/ZahlungenProJahr, 0)</f>
        <v>0</v>
      </c>
      <c r="F391" s="11">
        <f>IF(C391&gt;0.01, D391-E391, 0)</f>
        <v>0</v>
      </c>
      <c r="G391" s="12"/>
      <c r="H391" s="11">
        <f>SUM(F391,G391)</f>
        <v>0</v>
      </c>
      <c r="I391" s="11">
        <f>C391-H391</f>
        <v>0</v>
      </c>
    </row>
    <row r="392" spans="1:9">
      <c r="A392">
        <f>IF(C392&gt;0.01, 391, "")</f>
        <v>0</v>
      </c>
      <c r="B392" s="10">
        <f>IF(C392&gt;0.01,EDATE(B391,12/ZahlungenProJahr),"")</f>
        <v>0</v>
      </c>
      <c r="C392" s="11">
        <f>I391</f>
        <v>0</v>
      </c>
      <c r="D392" s="11">
        <f>IF(C392&gt;0.01, MIN(Rate, C392*(1+Jahreszins/ZahlungenProJahr)), 0)</f>
        <v>0</v>
      </c>
      <c r="E392" s="11">
        <f>IF(C392&gt;0.01, C392*Jahreszins/ZahlungenProJahr, 0)</f>
        <v>0</v>
      </c>
      <c r="F392" s="11">
        <f>IF(C392&gt;0.01, D392-E392, 0)</f>
        <v>0</v>
      </c>
      <c r="G392" s="12"/>
      <c r="H392" s="11">
        <f>SUM(F392,G392)</f>
        <v>0</v>
      </c>
      <c r="I392" s="11">
        <f>C392-H392</f>
        <v>0</v>
      </c>
    </row>
    <row r="393" spans="1:9">
      <c r="A393">
        <f>IF(C393&gt;0.01, 392, "")</f>
        <v>0</v>
      </c>
      <c r="B393" s="10">
        <f>IF(C393&gt;0.01,EDATE(B392,12/ZahlungenProJahr),"")</f>
        <v>0</v>
      </c>
      <c r="C393" s="11">
        <f>I392</f>
        <v>0</v>
      </c>
      <c r="D393" s="11">
        <f>IF(C393&gt;0.01, MIN(Rate, C393*(1+Jahreszins/ZahlungenProJahr)), 0)</f>
        <v>0</v>
      </c>
      <c r="E393" s="11">
        <f>IF(C393&gt;0.01, C393*Jahreszins/ZahlungenProJahr, 0)</f>
        <v>0</v>
      </c>
      <c r="F393" s="11">
        <f>IF(C393&gt;0.01, D393-E393, 0)</f>
        <v>0</v>
      </c>
      <c r="G393" s="12"/>
      <c r="H393" s="11">
        <f>SUM(F393,G393)</f>
        <v>0</v>
      </c>
      <c r="I393" s="11">
        <f>C393-H393</f>
        <v>0</v>
      </c>
    </row>
    <row r="394" spans="1:9">
      <c r="A394">
        <f>IF(C394&gt;0.01, 393, "")</f>
        <v>0</v>
      </c>
      <c r="B394" s="10">
        <f>IF(C394&gt;0.01,EDATE(B393,12/ZahlungenProJahr),"")</f>
        <v>0</v>
      </c>
      <c r="C394" s="11">
        <f>I393</f>
        <v>0</v>
      </c>
      <c r="D394" s="11">
        <f>IF(C394&gt;0.01, MIN(Rate, C394*(1+Jahreszins/ZahlungenProJahr)), 0)</f>
        <v>0</v>
      </c>
      <c r="E394" s="11">
        <f>IF(C394&gt;0.01, C394*Jahreszins/ZahlungenProJahr, 0)</f>
        <v>0</v>
      </c>
      <c r="F394" s="11">
        <f>IF(C394&gt;0.01, D394-E394, 0)</f>
        <v>0</v>
      </c>
      <c r="G394" s="12"/>
      <c r="H394" s="11">
        <f>SUM(F394,G394)</f>
        <v>0</v>
      </c>
      <c r="I394" s="11">
        <f>C394-H394</f>
        <v>0</v>
      </c>
    </row>
    <row r="395" spans="1:9">
      <c r="A395">
        <f>IF(C395&gt;0.01, 394, "")</f>
        <v>0</v>
      </c>
      <c r="B395" s="10">
        <f>IF(C395&gt;0.01,EDATE(B394,12/ZahlungenProJahr),"")</f>
        <v>0</v>
      </c>
      <c r="C395" s="11">
        <f>I394</f>
        <v>0</v>
      </c>
      <c r="D395" s="11">
        <f>IF(C395&gt;0.01, MIN(Rate, C395*(1+Jahreszins/ZahlungenProJahr)), 0)</f>
        <v>0</v>
      </c>
      <c r="E395" s="11">
        <f>IF(C395&gt;0.01, C395*Jahreszins/ZahlungenProJahr, 0)</f>
        <v>0</v>
      </c>
      <c r="F395" s="11">
        <f>IF(C395&gt;0.01, D395-E395, 0)</f>
        <v>0</v>
      </c>
      <c r="G395" s="12"/>
      <c r="H395" s="11">
        <f>SUM(F395,G395)</f>
        <v>0</v>
      </c>
      <c r="I395" s="11">
        <f>C395-H395</f>
        <v>0</v>
      </c>
    </row>
    <row r="396" spans="1:9">
      <c r="A396">
        <f>IF(C396&gt;0.01, 395, "")</f>
        <v>0</v>
      </c>
      <c r="B396" s="10">
        <f>IF(C396&gt;0.01,EDATE(B395,12/ZahlungenProJahr),"")</f>
        <v>0</v>
      </c>
      <c r="C396" s="11">
        <f>I395</f>
        <v>0</v>
      </c>
      <c r="D396" s="11">
        <f>IF(C396&gt;0.01, MIN(Rate, C396*(1+Jahreszins/ZahlungenProJahr)), 0)</f>
        <v>0</v>
      </c>
      <c r="E396" s="11">
        <f>IF(C396&gt;0.01, C396*Jahreszins/ZahlungenProJahr, 0)</f>
        <v>0</v>
      </c>
      <c r="F396" s="11">
        <f>IF(C396&gt;0.01, D396-E396, 0)</f>
        <v>0</v>
      </c>
      <c r="G396" s="12"/>
      <c r="H396" s="11">
        <f>SUM(F396,G396)</f>
        <v>0</v>
      </c>
      <c r="I396" s="11">
        <f>C396-H396</f>
        <v>0</v>
      </c>
    </row>
    <row r="397" spans="1:9">
      <c r="A397">
        <f>IF(C397&gt;0.01, 396, "")</f>
        <v>0</v>
      </c>
      <c r="B397" s="10">
        <f>IF(C397&gt;0.01,EDATE(B396,12/ZahlungenProJahr),"")</f>
        <v>0</v>
      </c>
      <c r="C397" s="11">
        <f>I396</f>
        <v>0</v>
      </c>
      <c r="D397" s="11">
        <f>IF(C397&gt;0.01, MIN(Rate, C397*(1+Jahreszins/ZahlungenProJahr)), 0)</f>
        <v>0</v>
      </c>
      <c r="E397" s="11">
        <f>IF(C397&gt;0.01, C397*Jahreszins/ZahlungenProJahr, 0)</f>
        <v>0</v>
      </c>
      <c r="F397" s="11">
        <f>IF(C397&gt;0.01, D397-E397, 0)</f>
        <v>0</v>
      </c>
      <c r="G397" s="12"/>
      <c r="H397" s="11">
        <f>SUM(F397,G397)</f>
        <v>0</v>
      </c>
      <c r="I397" s="11">
        <f>C397-H397</f>
        <v>0</v>
      </c>
    </row>
    <row r="398" spans="1:9">
      <c r="A398">
        <f>IF(C398&gt;0.01, 397, "")</f>
        <v>0</v>
      </c>
      <c r="B398" s="10">
        <f>IF(C398&gt;0.01,EDATE(B397,12/ZahlungenProJahr),"")</f>
        <v>0</v>
      </c>
      <c r="C398" s="11">
        <f>I397</f>
        <v>0</v>
      </c>
      <c r="D398" s="11">
        <f>IF(C398&gt;0.01, MIN(Rate, C398*(1+Jahreszins/ZahlungenProJahr)), 0)</f>
        <v>0</v>
      </c>
      <c r="E398" s="11">
        <f>IF(C398&gt;0.01, C398*Jahreszins/ZahlungenProJahr, 0)</f>
        <v>0</v>
      </c>
      <c r="F398" s="11">
        <f>IF(C398&gt;0.01, D398-E398, 0)</f>
        <v>0</v>
      </c>
      <c r="G398" s="12"/>
      <c r="H398" s="11">
        <f>SUM(F398,G398)</f>
        <v>0</v>
      </c>
      <c r="I398" s="11">
        <f>C398-H398</f>
        <v>0</v>
      </c>
    </row>
    <row r="399" spans="1:9">
      <c r="A399">
        <f>IF(C399&gt;0.01, 398, "")</f>
        <v>0</v>
      </c>
      <c r="B399" s="10">
        <f>IF(C399&gt;0.01,EDATE(B398,12/ZahlungenProJahr),"")</f>
        <v>0</v>
      </c>
      <c r="C399" s="11">
        <f>I398</f>
        <v>0</v>
      </c>
      <c r="D399" s="11">
        <f>IF(C399&gt;0.01, MIN(Rate, C399*(1+Jahreszins/ZahlungenProJahr)), 0)</f>
        <v>0</v>
      </c>
      <c r="E399" s="11">
        <f>IF(C399&gt;0.01, C399*Jahreszins/ZahlungenProJahr, 0)</f>
        <v>0</v>
      </c>
      <c r="F399" s="11">
        <f>IF(C399&gt;0.01, D399-E399, 0)</f>
        <v>0</v>
      </c>
      <c r="G399" s="12"/>
      <c r="H399" s="11">
        <f>SUM(F399,G399)</f>
        <v>0</v>
      </c>
      <c r="I399" s="11">
        <f>C399-H399</f>
        <v>0</v>
      </c>
    </row>
    <row r="400" spans="1:9">
      <c r="A400">
        <f>IF(C400&gt;0.01, 399, "")</f>
        <v>0</v>
      </c>
      <c r="B400" s="10">
        <f>IF(C400&gt;0.01,EDATE(B399,12/ZahlungenProJahr),"")</f>
        <v>0</v>
      </c>
      <c r="C400" s="11">
        <f>I399</f>
        <v>0</v>
      </c>
      <c r="D400" s="11">
        <f>IF(C400&gt;0.01, MIN(Rate, C400*(1+Jahreszins/ZahlungenProJahr)), 0)</f>
        <v>0</v>
      </c>
      <c r="E400" s="11">
        <f>IF(C400&gt;0.01, C400*Jahreszins/ZahlungenProJahr, 0)</f>
        <v>0</v>
      </c>
      <c r="F400" s="11">
        <f>IF(C400&gt;0.01, D400-E400, 0)</f>
        <v>0</v>
      </c>
      <c r="G400" s="12"/>
      <c r="H400" s="11">
        <f>SUM(F400,G400)</f>
        <v>0</v>
      </c>
      <c r="I400" s="11">
        <f>C400-H400</f>
        <v>0</v>
      </c>
    </row>
    <row r="401" spans="1:9">
      <c r="A401">
        <f>IF(C401&gt;0.01, 400, "")</f>
        <v>0</v>
      </c>
      <c r="B401" s="10">
        <f>IF(C401&gt;0.01,EDATE(B400,12/ZahlungenProJahr),"")</f>
        <v>0</v>
      </c>
      <c r="C401" s="11">
        <f>I400</f>
        <v>0</v>
      </c>
      <c r="D401" s="11">
        <f>IF(C401&gt;0.01, MIN(Rate, C401*(1+Jahreszins/ZahlungenProJahr)), 0)</f>
        <v>0</v>
      </c>
      <c r="E401" s="11">
        <f>IF(C401&gt;0.01, C401*Jahreszins/ZahlungenProJahr, 0)</f>
        <v>0</v>
      </c>
      <c r="F401" s="11">
        <f>IF(C401&gt;0.01, D401-E401, 0)</f>
        <v>0</v>
      </c>
      <c r="G401" s="12"/>
      <c r="H401" s="11">
        <f>SUM(F401,G401)</f>
        <v>0</v>
      </c>
      <c r="I401" s="11">
        <f>C401-H401</f>
        <v>0</v>
      </c>
    </row>
    <row r="402" spans="1:9">
      <c r="A402">
        <f>IF(C402&gt;0.01, 401, "")</f>
        <v>0</v>
      </c>
      <c r="B402" s="10">
        <f>IF(C402&gt;0.01,EDATE(B401,12/ZahlungenProJahr),"")</f>
        <v>0</v>
      </c>
      <c r="C402" s="11">
        <f>I401</f>
        <v>0</v>
      </c>
      <c r="D402" s="11">
        <f>IF(C402&gt;0.01, MIN(Rate, C402*(1+Jahreszins/ZahlungenProJahr)), 0)</f>
        <v>0</v>
      </c>
      <c r="E402" s="11">
        <f>IF(C402&gt;0.01, C402*Jahreszins/ZahlungenProJahr, 0)</f>
        <v>0</v>
      </c>
      <c r="F402" s="11">
        <f>IF(C402&gt;0.01, D402-E402, 0)</f>
        <v>0</v>
      </c>
      <c r="G402" s="12"/>
      <c r="H402" s="11">
        <f>SUM(F402,G402)</f>
        <v>0</v>
      </c>
      <c r="I402" s="11">
        <f>C402-H402</f>
        <v>0</v>
      </c>
    </row>
    <row r="403" spans="1:9">
      <c r="A403">
        <f>IF(C403&gt;0.01, 402, "")</f>
        <v>0</v>
      </c>
      <c r="B403" s="10">
        <f>IF(C403&gt;0.01,EDATE(B402,12/ZahlungenProJahr),"")</f>
        <v>0</v>
      </c>
      <c r="C403" s="11">
        <f>I402</f>
        <v>0</v>
      </c>
      <c r="D403" s="11">
        <f>IF(C403&gt;0.01, MIN(Rate, C403*(1+Jahreszins/ZahlungenProJahr)), 0)</f>
        <v>0</v>
      </c>
      <c r="E403" s="11">
        <f>IF(C403&gt;0.01, C403*Jahreszins/ZahlungenProJahr, 0)</f>
        <v>0</v>
      </c>
      <c r="F403" s="11">
        <f>IF(C403&gt;0.01, D403-E403, 0)</f>
        <v>0</v>
      </c>
      <c r="G403" s="12"/>
      <c r="H403" s="11">
        <f>SUM(F403,G403)</f>
        <v>0</v>
      </c>
      <c r="I403" s="11">
        <f>C403-H403</f>
        <v>0</v>
      </c>
    </row>
    <row r="404" spans="1:9">
      <c r="A404">
        <f>IF(C404&gt;0.01, 403, "")</f>
        <v>0</v>
      </c>
      <c r="B404" s="10">
        <f>IF(C404&gt;0.01,EDATE(B403,12/ZahlungenProJahr),"")</f>
        <v>0</v>
      </c>
      <c r="C404" s="11">
        <f>I403</f>
        <v>0</v>
      </c>
      <c r="D404" s="11">
        <f>IF(C404&gt;0.01, MIN(Rate, C404*(1+Jahreszins/ZahlungenProJahr)), 0)</f>
        <v>0</v>
      </c>
      <c r="E404" s="11">
        <f>IF(C404&gt;0.01, C404*Jahreszins/ZahlungenProJahr, 0)</f>
        <v>0</v>
      </c>
      <c r="F404" s="11">
        <f>IF(C404&gt;0.01, D404-E404, 0)</f>
        <v>0</v>
      </c>
      <c r="G404" s="12"/>
      <c r="H404" s="11">
        <f>SUM(F404,G404)</f>
        <v>0</v>
      </c>
      <c r="I404" s="11">
        <f>C404-H404</f>
        <v>0</v>
      </c>
    </row>
    <row r="405" spans="1:9">
      <c r="A405">
        <f>IF(C405&gt;0.01, 404, "")</f>
        <v>0</v>
      </c>
      <c r="B405" s="10">
        <f>IF(C405&gt;0.01,EDATE(B404,12/ZahlungenProJahr),"")</f>
        <v>0</v>
      </c>
      <c r="C405" s="11">
        <f>I404</f>
        <v>0</v>
      </c>
      <c r="D405" s="11">
        <f>IF(C405&gt;0.01, MIN(Rate, C405*(1+Jahreszins/ZahlungenProJahr)), 0)</f>
        <v>0</v>
      </c>
      <c r="E405" s="11">
        <f>IF(C405&gt;0.01, C405*Jahreszins/ZahlungenProJahr, 0)</f>
        <v>0</v>
      </c>
      <c r="F405" s="11">
        <f>IF(C405&gt;0.01, D405-E405, 0)</f>
        <v>0</v>
      </c>
      <c r="G405" s="12"/>
      <c r="H405" s="11">
        <f>SUM(F405,G405)</f>
        <v>0</v>
      </c>
      <c r="I405" s="11">
        <f>C405-H405</f>
        <v>0</v>
      </c>
    </row>
    <row r="406" spans="1:9">
      <c r="A406">
        <f>IF(C406&gt;0.01, 405, "")</f>
        <v>0</v>
      </c>
      <c r="B406" s="10">
        <f>IF(C406&gt;0.01,EDATE(B405,12/ZahlungenProJahr),"")</f>
        <v>0</v>
      </c>
      <c r="C406" s="11">
        <f>I405</f>
        <v>0</v>
      </c>
      <c r="D406" s="11">
        <f>IF(C406&gt;0.01, MIN(Rate, C406*(1+Jahreszins/ZahlungenProJahr)), 0)</f>
        <v>0</v>
      </c>
      <c r="E406" s="11">
        <f>IF(C406&gt;0.01, C406*Jahreszins/ZahlungenProJahr, 0)</f>
        <v>0</v>
      </c>
      <c r="F406" s="11">
        <f>IF(C406&gt;0.01, D406-E406, 0)</f>
        <v>0</v>
      </c>
      <c r="G406" s="12"/>
      <c r="H406" s="11">
        <f>SUM(F406,G406)</f>
        <v>0</v>
      </c>
      <c r="I406" s="11">
        <f>C406-H406</f>
        <v>0</v>
      </c>
    </row>
    <row r="407" spans="1:9">
      <c r="A407">
        <f>IF(C407&gt;0.01, 406, "")</f>
        <v>0</v>
      </c>
      <c r="B407" s="10">
        <f>IF(C407&gt;0.01,EDATE(B406,12/ZahlungenProJahr),"")</f>
        <v>0</v>
      </c>
      <c r="C407" s="11">
        <f>I406</f>
        <v>0</v>
      </c>
      <c r="D407" s="11">
        <f>IF(C407&gt;0.01, MIN(Rate, C407*(1+Jahreszins/ZahlungenProJahr)), 0)</f>
        <v>0</v>
      </c>
      <c r="E407" s="11">
        <f>IF(C407&gt;0.01, C407*Jahreszins/ZahlungenProJahr, 0)</f>
        <v>0</v>
      </c>
      <c r="F407" s="11">
        <f>IF(C407&gt;0.01, D407-E407, 0)</f>
        <v>0</v>
      </c>
      <c r="G407" s="12"/>
      <c r="H407" s="11">
        <f>SUM(F407,G407)</f>
        <v>0</v>
      </c>
      <c r="I407" s="11">
        <f>C407-H407</f>
        <v>0</v>
      </c>
    </row>
    <row r="408" spans="1:9">
      <c r="A408">
        <f>IF(C408&gt;0.01, 407, "")</f>
        <v>0</v>
      </c>
      <c r="B408" s="10">
        <f>IF(C408&gt;0.01,EDATE(B407,12/ZahlungenProJahr),"")</f>
        <v>0</v>
      </c>
      <c r="C408" s="11">
        <f>I407</f>
        <v>0</v>
      </c>
      <c r="D408" s="11">
        <f>IF(C408&gt;0.01, MIN(Rate, C408*(1+Jahreszins/ZahlungenProJahr)), 0)</f>
        <v>0</v>
      </c>
      <c r="E408" s="11">
        <f>IF(C408&gt;0.01, C408*Jahreszins/ZahlungenProJahr, 0)</f>
        <v>0</v>
      </c>
      <c r="F408" s="11">
        <f>IF(C408&gt;0.01, D408-E408, 0)</f>
        <v>0</v>
      </c>
      <c r="G408" s="12"/>
      <c r="H408" s="11">
        <f>SUM(F408,G408)</f>
        <v>0</v>
      </c>
      <c r="I408" s="11">
        <f>C408-H408</f>
        <v>0</v>
      </c>
    </row>
    <row r="409" spans="1:9">
      <c r="A409">
        <f>IF(C409&gt;0.01, 408, "")</f>
        <v>0</v>
      </c>
      <c r="B409" s="10">
        <f>IF(C409&gt;0.01,EDATE(B408,12/ZahlungenProJahr),"")</f>
        <v>0</v>
      </c>
      <c r="C409" s="11">
        <f>I408</f>
        <v>0</v>
      </c>
      <c r="D409" s="11">
        <f>IF(C409&gt;0.01, MIN(Rate, C409*(1+Jahreszins/ZahlungenProJahr)), 0)</f>
        <v>0</v>
      </c>
      <c r="E409" s="11">
        <f>IF(C409&gt;0.01, C409*Jahreszins/ZahlungenProJahr, 0)</f>
        <v>0</v>
      </c>
      <c r="F409" s="11">
        <f>IF(C409&gt;0.01, D409-E409, 0)</f>
        <v>0</v>
      </c>
      <c r="G409" s="12"/>
      <c r="H409" s="11">
        <f>SUM(F409,G409)</f>
        <v>0</v>
      </c>
      <c r="I409" s="11">
        <f>C409-H409</f>
        <v>0</v>
      </c>
    </row>
    <row r="410" spans="1:9">
      <c r="A410">
        <f>IF(C410&gt;0.01, 409, "")</f>
        <v>0</v>
      </c>
      <c r="B410" s="10">
        <f>IF(C410&gt;0.01,EDATE(B409,12/ZahlungenProJahr),"")</f>
        <v>0</v>
      </c>
      <c r="C410" s="11">
        <f>I409</f>
        <v>0</v>
      </c>
      <c r="D410" s="11">
        <f>IF(C410&gt;0.01, MIN(Rate, C410*(1+Jahreszins/ZahlungenProJahr)), 0)</f>
        <v>0</v>
      </c>
      <c r="E410" s="11">
        <f>IF(C410&gt;0.01, C410*Jahreszins/ZahlungenProJahr, 0)</f>
        <v>0</v>
      </c>
      <c r="F410" s="11">
        <f>IF(C410&gt;0.01, D410-E410, 0)</f>
        <v>0</v>
      </c>
      <c r="G410" s="12"/>
      <c r="H410" s="11">
        <f>SUM(F410,G410)</f>
        <v>0</v>
      </c>
      <c r="I410" s="11">
        <f>C410-H410</f>
        <v>0</v>
      </c>
    </row>
    <row r="411" spans="1:9">
      <c r="A411">
        <f>IF(C411&gt;0.01, 410, "")</f>
        <v>0</v>
      </c>
      <c r="B411" s="10">
        <f>IF(C411&gt;0.01,EDATE(B410,12/ZahlungenProJahr),"")</f>
        <v>0</v>
      </c>
      <c r="C411" s="11">
        <f>I410</f>
        <v>0</v>
      </c>
      <c r="D411" s="11">
        <f>IF(C411&gt;0.01, MIN(Rate, C411*(1+Jahreszins/ZahlungenProJahr)), 0)</f>
        <v>0</v>
      </c>
      <c r="E411" s="11">
        <f>IF(C411&gt;0.01, C411*Jahreszins/ZahlungenProJahr, 0)</f>
        <v>0</v>
      </c>
      <c r="F411" s="11">
        <f>IF(C411&gt;0.01, D411-E411, 0)</f>
        <v>0</v>
      </c>
      <c r="G411" s="12"/>
      <c r="H411" s="11">
        <f>SUM(F411,G411)</f>
        <v>0</v>
      </c>
      <c r="I411" s="11">
        <f>C411-H411</f>
        <v>0</v>
      </c>
    </row>
    <row r="412" spans="1:9">
      <c r="A412">
        <f>IF(C412&gt;0.01, 411, "")</f>
        <v>0</v>
      </c>
      <c r="B412" s="10">
        <f>IF(C412&gt;0.01,EDATE(B411,12/ZahlungenProJahr),"")</f>
        <v>0</v>
      </c>
      <c r="C412" s="11">
        <f>I411</f>
        <v>0</v>
      </c>
      <c r="D412" s="11">
        <f>IF(C412&gt;0.01, MIN(Rate, C412*(1+Jahreszins/ZahlungenProJahr)), 0)</f>
        <v>0</v>
      </c>
      <c r="E412" s="11">
        <f>IF(C412&gt;0.01, C412*Jahreszins/ZahlungenProJahr, 0)</f>
        <v>0</v>
      </c>
      <c r="F412" s="11">
        <f>IF(C412&gt;0.01, D412-E412, 0)</f>
        <v>0</v>
      </c>
      <c r="G412" s="12"/>
      <c r="H412" s="11">
        <f>SUM(F412,G412)</f>
        <v>0</v>
      </c>
      <c r="I412" s="11">
        <f>C412-H412</f>
        <v>0</v>
      </c>
    </row>
    <row r="413" spans="1:9">
      <c r="A413">
        <f>IF(C413&gt;0.01, 412, "")</f>
        <v>0</v>
      </c>
      <c r="B413" s="10">
        <f>IF(C413&gt;0.01,EDATE(B412,12/ZahlungenProJahr),"")</f>
        <v>0</v>
      </c>
      <c r="C413" s="11">
        <f>I412</f>
        <v>0</v>
      </c>
      <c r="D413" s="11">
        <f>IF(C413&gt;0.01, MIN(Rate, C413*(1+Jahreszins/ZahlungenProJahr)), 0)</f>
        <v>0</v>
      </c>
      <c r="E413" s="11">
        <f>IF(C413&gt;0.01, C413*Jahreszins/ZahlungenProJahr, 0)</f>
        <v>0</v>
      </c>
      <c r="F413" s="11">
        <f>IF(C413&gt;0.01, D413-E413, 0)</f>
        <v>0</v>
      </c>
      <c r="G413" s="12"/>
      <c r="H413" s="11">
        <f>SUM(F413,G413)</f>
        <v>0</v>
      </c>
      <c r="I413" s="11">
        <f>C413-H413</f>
        <v>0</v>
      </c>
    </row>
    <row r="414" spans="1:9">
      <c r="A414">
        <f>IF(C414&gt;0.01, 413, "")</f>
        <v>0</v>
      </c>
      <c r="B414" s="10">
        <f>IF(C414&gt;0.01,EDATE(B413,12/ZahlungenProJahr),"")</f>
        <v>0</v>
      </c>
      <c r="C414" s="11">
        <f>I413</f>
        <v>0</v>
      </c>
      <c r="D414" s="11">
        <f>IF(C414&gt;0.01, MIN(Rate, C414*(1+Jahreszins/ZahlungenProJahr)), 0)</f>
        <v>0</v>
      </c>
      <c r="E414" s="11">
        <f>IF(C414&gt;0.01, C414*Jahreszins/ZahlungenProJahr, 0)</f>
        <v>0</v>
      </c>
      <c r="F414" s="11">
        <f>IF(C414&gt;0.01, D414-E414, 0)</f>
        <v>0</v>
      </c>
      <c r="G414" s="12"/>
      <c r="H414" s="11">
        <f>SUM(F414,G414)</f>
        <v>0</v>
      </c>
      <c r="I414" s="11">
        <f>C414-H414</f>
        <v>0</v>
      </c>
    </row>
    <row r="415" spans="1:9">
      <c r="A415">
        <f>IF(C415&gt;0.01, 414, "")</f>
        <v>0</v>
      </c>
      <c r="B415" s="10">
        <f>IF(C415&gt;0.01,EDATE(B414,12/ZahlungenProJahr),"")</f>
        <v>0</v>
      </c>
      <c r="C415" s="11">
        <f>I414</f>
        <v>0</v>
      </c>
      <c r="D415" s="11">
        <f>IF(C415&gt;0.01, MIN(Rate, C415*(1+Jahreszins/ZahlungenProJahr)), 0)</f>
        <v>0</v>
      </c>
      <c r="E415" s="11">
        <f>IF(C415&gt;0.01, C415*Jahreszins/ZahlungenProJahr, 0)</f>
        <v>0</v>
      </c>
      <c r="F415" s="11">
        <f>IF(C415&gt;0.01, D415-E415, 0)</f>
        <v>0</v>
      </c>
      <c r="G415" s="12"/>
      <c r="H415" s="11">
        <f>SUM(F415,G415)</f>
        <v>0</v>
      </c>
      <c r="I415" s="11">
        <f>C415-H415</f>
        <v>0</v>
      </c>
    </row>
    <row r="416" spans="1:9">
      <c r="A416">
        <f>IF(C416&gt;0.01, 415, "")</f>
        <v>0</v>
      </c>
      <c r="B416" s="10">
        <f>IF(C416&gt;0.01,EDATE(B415,12/ZahlungenProJahr),"")</f>
        <v>0</v>
      </c>
      <c r="C416" s="11">
        <f>I415</f>
        <v>0</v>
      </c>
      <c r="D416" s="11">
        <f>IF(C416&gt;0.01, MIN(Rate, C416*(1+Jahreszins/ZahlungenProJahr)), 0)</f>
        <v>0</v>
      </c>
      <c r="E416" s="11">
        <f>IF(C416&gt;0.01, C416*Jahreszins/ZahlungenProJahr, 0)</f>
        <v>0</v>
      </c>
      <c r="F416" s="11">
        <f>IF(C416&gt;0.01, D416-E416, 0)</f>
        <v>0</v>
      </c>
      <c r="G416" s="12"/>
      <c r="H416" s="11">
        <f>SUM(F416,G416)</f>
        <v>0</v>
      </c>
      <c r="I416" s="11">
        <f>C416-H416</f>
        <v>0</v>
      </c>
    </row>
    <row r="417" spans="1:9">
      <c r="A417">
        <f>IF(C417&gt;0.01, 416, "")</f>
        <v>0</v>
      </c>
      <c r="B417" s="10">
        <f>IF(C417&gt;0.01,EDATE(B416,12/ZahlungenProJahr),"")</f>
        <v>0</v>
      </c>
      <c r="C417" s="11">
        <f>I416</f>
        <v>0</v>
      </c>
      <c r="D417" s="11">
        <f>IF(C417&gt;0.01, MIN(Rate, C417*(1+Jahreszins/ZahlungenProJahr)), 0)</f>
        <v>0</v>
      </c>
      <c r="E417" s="11">
        <f>IF(C417&gt;0.01, C417*Jahreszins/ZahlungenProJahr, 0)</f>
        <v>0</v>
      </c>
      <c r="F417" s="11">
        <f>IF(C417&gt;0.01, D417-E417, 0)</f>
        <v>0</v>
      </c>
      <c r="G417" s="12"/>
      <c r="H417" s="11">
        <f>SUM(F417,G417)</f>
        <v>0</v>
      </c>
      <c r="I417" s="11">
        <f>C417-H417</f>
        <v>0</v>
      </c>
    </row>
    <row r="418" spans="1:9">
      <c r="A418">
        <f>IF(C418&gt;0.01, 417, "")</f>
        <v>0</v>
      </c>
      <c r="B418" s="10">
        <f>IF(C418&gt;0.01,EDATE(B417,12/ZahlungenProJahr),"")</f>
        <v>0</v>
      </c>
      <c r="C418" s="11">
        <f>I417</f>
        <v>0</v>
      </c>
      <c r="D418" s="11">
        <f>IF(C418&gt;0.01, MIN(Rate, C418*(1+Jahreszins/ZahlungenProJahr)), 0)</f>
        <v>0</v>
      </c>
      <c r="E418" s="11">
        <f>IF(C418&gt;0.01, C418*Jahreszins/ZahlungenProJahr, 0)</f>
        <v>0</v>
      </c>
      <c r="F418" s="11">
        <f>IF(C418&gt;0.01, D418-E418, 0)</f>
        <v>0</v>
      </c>
      <c r="G418" s="12"/>
      <c r="H418" s="11">
        <f>SUM(F418,G418)</f>
        <v>0</v>
      </c>
      <c r="I418" s="11">
        <f>C418-H418</f>
        <v>0</v>
      </c>
    </row>
    <row r="419" spans="1:9">
      <c r="A419">
        <f>IF(C419&gt;0.01, 418, "")</f>
        <v>0</v>
      </c>
      <c r="B419" s="10">
        <f>IF(C419&gt;0.01,EDATE(B418,12/ZahlungenProJahr),"")</f>
        <v>0</v>
      </c>
      <c r="C419" s="11">
        <f>I418</f>
        <v>0</v>
      </c>
      <c r="D419" s="11">
        <f>IF(C419&gt;0.01, MIN(Rate, C419*(1+Jahreszins/ZahlungenProJahr)), 0)</f>
        <v>0</v>
      </c>
      <c r="E419" s="11">
        <f>IF(C419&gt;0.01, C419*Jahreszins/ZahlungenProJahr, 0)</f>
        <v>0</v>
      </c>
      <c r="F419" s="11">
        <f>IF(C419&gt;0.01, D419-E419, 0)</f>
        <v>0</v>
      </c>
      <c r="G419" s="12"/>
      <c r="H419" s="11">
        <f>SUM(F419,G419)</f>
        <v>0</v>
      </c>
      <c r="I419" s="11">
        <f>C419-H419</f>
        <v>0</v>
      </c>
    </row>
    <row r="420" spans="1:9">
      <c r="A420">
        <f>IF(C420&gt;0.01, 419, "")</f>
        <v>0</v>
      </c>
      <c r="B420" s="10">
        <f>IF(C420&gt;0.01,EDATE(B419,12/ZahlungenProJahr),"")</f>
        <v>0</v>
      </c>
      <c r="C420" s="11">
        <f>I419</f>
        <v>0</v>
      </c>
      <c r="D420" s="11">
        <f>IF(C420&gt;0.01, MIN(Rate, C420*(1+Jahreszins/ZahlungenProJahr)), 0)</f>
        <v>0</v>
      </c>
      <c r="E420" s="11">
        <f>IF(C420&gt;0.01, C420*Jahreszins/ZahlungenProJahr, 0)</f>
        <v>0</v>
      </c>
      <c r="F420" s="11">
        <f>IF(C420&gt;0.01, D420-E420, 0)</f>
        <v>0</v>
      </c>
      <c r="G420" s="12"/>
      <c r="H420" s="11">
        <f>SUM(F420,G420)</f>
        <v>0</v>
      </c>
      <c r="I420" s="11">
        <f>C420-H420</f>
        <v>0</v>
      </c>
    </row>
    <row r="421" spans="1:9">
      <c r="A421">
        <f>IF(C421&gt;0.01, 420, "")</f>
        <v>0</v>
      </c>
      <c r="B421" s="10">
        <f>IF(C421&gt;0.01,EDATE(B420,12/ZahlungenProJahr),"")</f>
        <v>0</v>
      </c>
      <c r="C421" s="11">
        <f>I420</f>
        <v>0</v>
      </c>
      <c r="D421" s="11">
        <f>IF(C421&gt;0.01, MIN(Rate, C421*(1+Jahreszins/ZahlungenProJahr)), 0)</f>
        <v>0</v>
      </c>
      <c r="E421" s="11">
        <f>IF(C421&gt;0.01, C421*Jahreszins/ZahlungenProJahr, 0)</f>
        <v>0</v>
      </c>
      <c r="F421" s="11">
        <f>IF(C421&gt;0.01, D421-E421, 0)</f>
        <v>0</v>
      </c>
      <c r="G421" s="12"/>
      <c r="H421" s="11">
        <f>SUM(F421,G421)</f>
        <v>0</v>
      </c>
      <c r="I421" s="11">
        <f>C421-H421</f>
        <v>0</v>
      </c>
    </row>
    <row r="422" spans="1:9">
      <c r="A422">
        <f>IF(C422&gt;0.01, 421, "")</f>
        <v>0</v>
      </c>
      <c r="B422" s="10">
        <f>IF(C422&gt;0.01,EDATE(B421,12/ZahlungenProJahr),"")</f>
        <v>0</v>
      </c>
      <c r="C422" s="11">
        <f>I421</f>
        <v>0</v>
      </c>
      <c r="D422" s="11">
        <f>IF(C422&gt;0.01, MIN(Rate, C422*(1+Jahreszins/ZahlungenProJahr)), 0)</f>
        <v>0</v>
      </c>
      <c r="E422" s="11">
        <f>IF(C422&gt;0.01, C422*Jahreszins/ZahlungenProJahr, 0)</f>
        <v>0</v>
      </c>
      <c r="F422" s="11">
        <f>IF(C422&gt;0.01, D422-E422, 0)</f>
        <v>0</v>
      </c>
      <c r="G422" s="12"/>
      <c r="H422" s="11">
        <f>SUM(F422,G422)</f>
        <v>0</v>
      </c>
      <c r="I422" s="11">
        <f>C422-H422</f>
        <v>0</v>
      </c>
    </row>
    <row r="423" spans="1:9">
      <c r="A423">
        <f>IF(C423&gt;0.01, 422, "")</f>
        <v>0</v>
      </c>
      <c r="B423" s="10">
        <f>IF(C423&gt;0.01,EDATE(B422,12/ZahlungenProJahr),"")</f>
        <v>0</v>
      </c>
      <c r="C423" s="11">
        <f>I422</f>
        <v>0</v>
      </c>
      <c r="D423" s="11">
        <f>IF(C423&gt;0.01, MIN(Rate, C423*(1+Jahreszins/ZahlungenProJahr)), 0)</f>
        <v>0</v>
      </c>
      <c r="E423" s="11">
        <f>IF(C423&gt;0.01, C423*Jahreszins/ZahlungenProJahr, 0)</f>
        <v>0</v>
      </c>
      <c r="F423" s="11">
        <f>IF(C423&gt;0.01, D423-E423, 0)</f>
        <v>0</v>
      </c>
      <c r="G423" s="12"/>
      <c r="H423" s="11">
        <f>SUM(F423,G423)</f>
        <v>0</v>
      </c>
      <c r="I423" s="11">
        <f>C423-H423</f>
        <v>0</v>
      </c>
    </row>
    <row r="424" spans="1:9">
      <c r="A424">
        <f>IF(C424&gt;0.01, 423, "")</f>
        <v>0</v>
      </c>
      <c r="B424" s="10">
        <f>IF(C424&gt;0.01,EDATE(B423,12/ZahlungenProJahr),"")</f>
        <v>0</v>
      </c>
      <c r="C424" s="11">
        <f>I423</f>
        <v>0</v>
      </c>
      <c r="D424" s="11">
        <f>IF(C424&gt;0.01, MIN(Rate, C424*(1+Jahreszins/ZahlungenProJahr)), 0)</f>
        <v>0</v>
      </c>
      <c r="E424" s="11">
        <f>IF(C424&gt;0.01, C424*Jahreszins/ZahlungenProJahr, 0)</f>
        <v>0</v>
      </c>
      <c r="F424" s="11">
        <f>IF(C424&gt;0.01, D424-E424, 0)</f>
        <v>0</v>
      </c>
      <c r="G424" s="12"/>
      <c r="H424" s="11">
        <f>SUM(F424,G424)</f>
        <v>0</v>
      </c>
      <c r="I424" s="11">
        <f>C424-H424</f>
        <v>0</v>
      </c>
    </row>
    <row r="425" spans="1:9">
      <c r="A425">
        <f>IF(C425&gt;0.01, 424, "")</f>
        <v>0</v>
      </c>
      <c r="B425" s="10">
        <f>IF(C425&gt;0.01,EDATE(B424,12/ZahlungenProJahr),"")</f>
        <v>0</v>
      </c>
      <c r="C425" s="11">
        <f>I424</f>
        <v>0</v>
      </c>
      <c r="D425" s="11">
        <f>IF(C425&gt;0.01, MIN(Rate, C425*(1+Jahreszins/ZahlungenProJahr)), 0)</f>
        <v>0</v>
      </c>
      <c r="E425" s="11">
        <f>IF(C425&gt;0.01, C425*Jahreszins/ZahlungenProJahr, 0)</f>
        <v>0</v>
      </c>
      <c r="F425" s="11">
        <f>IF(C425&gt;0.01, D425-E425, 0)</f>
        <v>0</v>
      </c>
      <c r="G425" s="12"/>
      <c r="H425" s="11">
        <f>SUM(F425,G425)</f>
        <v>0</v>
      </c>
      <c r="I425" s="11">
        <f>C425-H425</f>
        <v>0</v>
      </c>
    </row>
    <row r="426" spans="1:9">
      <c r="A426">
        <f>IF(C426&gt;0.01, 425, "")</f>
        <v>0</v>
      </c>
      <c r="B426" s="10">
        <f>IF(C426&gt;0.01,EDATE(B425,12/ZahlungenProJahr),"")</f>
        <v>0</v>
      </c>
      <c r="C426" s="11">
        <f>I425</f>
        <v>0</v>
      </c>
      <c r="D426" s="11">
        <f>IF(C426&gt;0.01, MIN(Rate, C426*(1+Jahreszins/ZahlungenProJahr)), 0)</f>
        <v>0</v>
      </c>
      <c r="E426" s="11">
        <f>IF(C426&gt;0.01, C426*Jahreszins/ZahlungenProJahr, 0)</f>
        <v>0</v>
      </c>
      <c r="F426" s="11">
        <f>IF(C426&gt;0.01, D426-E426, 0)</f>
        <v>0</v>
      </c>
      <c r="G426" s="12"/>
      <c r="H426" s="11">
        <f>SUM(F426,G426)</f>
        <v>0</v>
      </c>
      <c r="I426" s="11">
        <f>C426-H426</f>
        <v>0</v>
      </c>
    </row>
    <row r="427" spans="1:9">
      <c r="A427">
        <f>IF(C427&gt;0.01, 426, "")</f>
        <v>0</v>
      </c>
      <c r="B427" s="10">
        <f>IF(C427&gt;0.01,EDATE(B426,12/ZahlungenProJahr),"")</f>
        <v>0</v>
      </c>
      <c r="C427" s="11">
        <f>I426</f>
        <v>0</v>
      </c>
      <c r="D427" s="11">
        <f>IF(C427&gt;0.01, MIN(Rate, C427*(1+Jahreszins/ZahlungenProJahr)), 0)</f>
        <v>0</v>
      </c>
      <c r="E427" s="11">
        <f>IF(C427&gt;0.01, C427*Jahreszins/ZahlungenProJahr, 0)</f>
        <v>0</v>
      </c>
      <c r="F427" s="11">
        <f>IF(C427&gt;0.01, D427-E427, 0)</f>
        <v>0</v>
      </c>
      <c r="G427" s="12"/>
      <c r="H427" s="11">
        <f>SUM(F427,G427)</f>
        <v>0</v>
      </c>
      <c r="I427" s="11">
        <f>C427-H427</f>
        <v>0</v>
      </c>
    </row>
    <row r="428" spans="1:9">
      <c r="A428">
        <f>IF(C428&gt;0.01, 427, "")</f>
        <v>0</v>
      </c>
      <c r="B428" s="10">
        <f>IF(C428&gt;0.01,EDATE(B427,12/ZahlungenProJahr),"")</f>
        <v>0</v>
      </c>
      <c r="C428" s="11">
        <f>I427</f>
        <v>0</v>
      </c>
      <c r="D428" s="11">
        <f>IF(C428&gt;0.01, MIN(Rate, C428*(1+Jahreszins/ZahlungenProJahr)), 0)</f>
        <v>0</v>
      </c>
      <c r="E428" s="11">
        <f>IF(C428&gt;0.01, C428*Jahreszins/ZahlungenProJahr, 0)</f>
        <v>0</v>
      </c>
      <c r="F428" s="11">
        <f>IF(C428&gt;0.01, D428-E428, 0)</f>
        <v>0</v>
      </c>
      <c r="G428" s="12"/>
      <c r="H428" s="11">
        <f>SUM(F428,G428)</f>
        <v>0</v>
      </c>
      <c r="I428" s="11">
        <f>C428-H428</f>
        <v>0</v>
      </c>
    </row>
    <row r="429" spans="1:9">
      <c r="A429">
        <f>IF(C429&gt;0.01, 428, "")</f>
        <v>0</v>
      </c>
      <c r="B429" s="10">
        <f>IF(C429&gt;0.01,EDATE(B428,12/ZahlungenProJahr),"")</f>
        <v>0</v>
      </c>
      <c r="C429" s="11">
        <f>I428</f>
        <v>0</v>
      </c>
      <c r="D429" s="11">
        <f>IF(C429&gt;0.01, MIN(Rate, C429*(1+Jahreszins/ZahlungenProJahr)), 0)</f>
        <v>0</v>
      </c>
      <c r="E429" s="11">
        <f>IF(C429&gt;0.01, C429*Jahreszins/ZahlungenProJahr, 0)</f>
        <v>0</v>
      </c>
      <c r="F429" s="11">
        <f>IF(C429&gt;0.01, D429-E429, 0)</f>
        <v>0</v>
      </c>
      <c r="G429" s="12"/>
      <c r="H429" s="11">
        <f>SUM(F429,G429)</f>
        <v>0</v>
      </c>
      <c r="I429" s="11">
        <f>C429-H429</f>
        <v>0</v>
      </c>
    </row>
    <row r="430" spans="1:9">
      <c r="A430">
        <f>IF(C430&gt;0.01, 429, "")</f>
        <v>0</v>
      </c>
      <c r="B430" s="10">
        <f>IF(C430&gt;0.01,EDATE(B429,12/ZahlungenProJahr),"")</f>
        <v>0</v>
      </c>
      <c r="C430" s="11">
        <f>I429</f>
        <v>0</v>
      </c>
      <c r="D430" s="11">
        <f>IF(C430&gt;0.01, MIN(Rate, C430*(1+Jahreszins/ZahlungenProJahr)), 0)</f>
        <v>0</v>
      </c>
      <c r="E430" s="11">
        <f>IF(C430&gt;0.01, C430*Jahreszins/ZahlungenProJahr, 0)</f>
        <v>0</v>
      </c>
      <c r="F430" s="11">
        <f>IF(C430&gt;0.01, D430-E430, 0)</f>
        <v>0</v>
      </c>
      <c r="G430" s="12"/>
      <c r="H430" s="11">
        <f>SUM(F430,G430)</f>
        <v>0</v>
      </c>
      <c r="I430" s="11">
        <f>C430-H430</f>
        <v>0</v>
      </c>
    </row>
    <row r="431" spans="1:9">
      <c r="A431">
        <f>IF(C431&gt;0.01, 430, "")</f>
        <v>0</v>
      </c>
      <c r="B431" s="10">
        <f>IF(C431&gt;0.01,EDATE(B430,12/ZahlungenProJahr),"")</f>
        <v>0</v>
      </c>
      <c r="C431" s="11">
        <f>I430</f>
        <v>0</v>
      </c>
      <c r="D431" s="11">
        <f>IF(C431&gt;0.01, MIN(Rate, C431*(1+Jahreszins/ZahlungenProJahr)), 0)</f>
        <v>0</v>
      </c>
      <c r="E431" s="11">
        <f>IF(C431&gt;0.01, C431*Jahreszins/ZahlungenProJahr, 0)</f>
        <v>0</v>
      </c>
      <c r="F431" s="11">
        <f>IF(C431&gt;0.01, D431-E431, 0)</f>
        <v>0</v>
      </c>
      <c r="G431" s="12"/>
      <c r="H431" s="11">
        <f>SUM(F431,G431)</f>
        <v>0</v>
      </c>
      <c r="I431" s="11">
        <f>C431-H431</f>
        <v>0</v>
      </c>
    </row>
    <row r="432" spans="1:9">
      <c r="A432">
        <f>IF(C432&gt;0.01, 431, "")</f>
        <v>0</v>
      </c>
      <c r="B432" s="10">
        <f>IF(C432&gt;0.01,EDATE(B431,12/ZahlungenProJahr),"")</f>
        <v>0</v>
      </c>
      <c r="C432" s="11">
        <f>I431</f>
        <v>0</v>
      </c>
      <c r="D432" s="11">
        <f>IF(C432&gt;0.01, MIN(Rate, C432*(1+Jahreszins/ZahlungenProJahr)), 0)</f>
        <v>0</v>
      </c>
      <c r="E432" s="11">
        <f>IF(C432&gt;0.01, C432*Jahreszins/ZahlungenProJahr, 0)</f>
        <v>0</v>
      </c>
      <c r="F432" s="11">
        <f>IF(C432&gt;0.01, D432-E432, 0)</f>
        <v>0</v>
      </c>
      <c r="G432" s="12"/>
      <c r="H432" s="11">
        <f>SUM(F432,G432)</f>
        <v>0</v>
      </c>
      <c r="I432" s="11">
        <f>C432-H432</f>
        <v>0</v>
      </c>
    </row>
    <row r="433" spans="1:9">
      <c r="A433">
        <f>IF(C433&gt;0.01, 432, "")</f>
        <v>0</v>
      </c>
      <c r="B433" s="10">
        <f>IF(C433&gt;0.01,EDATE(B432,12/ZahlungenProJahr),"")</f>
        <v>0</v>
      </c>
      <c r="C433" s="11">
        <f>I432</f>
        <v>0</v>
      </c>
      <c r="D433" s="11">
        <f>IF(C433&gt;0.01, MIN(Rate, C433*(1+Jahreszins/ZahlungenProJahr)), 0)</f>
        <v>0</v>
      </c>
      <c r="E433" s="11">
        <f>IF(C433&gt;0.01, C433*Jahreszins/ZahlungenProJahr, 0)</f>
        <v>0</v>
      </c>
      <c r="F433" s="11">
        <f>IF(C433&gt;0.01, D433-E433, 0)</f>
        <v>0</v>
      </c>
      <c r="G433" s="12"/>
      <c r="H433" s="11">
        <f>SUM(F433,G433)</f>
        <v>0</v>
      </c>
      <c r="I433" s="11">
        <f>C433-H433</f>
        <v>0</v>
      </c>
    </row>
    <row r="434" spans="1:9">
      <c r="A434">
        <f>IF(C434&gt;0.01, 433, "")</f>
        <v>0</v>
      </c>
      <c r="B434" s="10">
        <f>IF(C434&gt;0.01,EDATE(B433,12/ZahlungenProJahr),"")</f>
        <v>0</v>
      </c>
      <c r="C434" s="11">
        <f>I433</f>
        <v>0</v>
      </c>
      <c r="D434" s="11">
        <f>IF(C434&gt;0.01, MIN(Rate, C434*(1+Jahreszins/ZahlungenProJahr)), 0)</f>
        <v>0</v>
      </c>
      <c r="E434" s="11">
        <f>IF(C434&gt;0.01, C434*Jahreszins/ZahlungenProJahr, 0)</f>
        <v>0</v>
      </c>
      <c r="F434" s="11">
        <f>IF(C434&gt;0.01, D434-E434, 0)</f>
        <v>0</v>
      </c>
      <c r="G434" s="12"/>
      <c r="H434" s="11">
        <f>SUM(F434,G434)</f>
        <v>0</v>
      </c>
      <c r="I434" s="11">
        <f>C434-H434</f>
        <v>0</v>
      </c>
    </row>
    <row r="435" spans="1:9">
      <c r="A435">
        <f>IF(C435&gt;0.01, 434, "")</f>
        <v>0</v>
      </c>
      <c r="B435" s="10">
        <f>IF(C435&gt;0.01,EDATE(B434,12/ZahlungenProJahr),"")</f>
        <v>0</v>
      </c>
      <c r="C435" s="11">
        <f>I434</f>
        <v>0</v>
      </c>
      <c r="D435" s="11">
        <f>IF(C435&gt;0.01, MIN(Rate, C435*(1+Jahreszins/ZahlungenProJahr)), 0)</f>
        <v>0</v>
      </c>
      <c r="E435" s="11">
        <f>IF(C435&gt;0.01, C435*Jahreszins/ZahlungenProJahr, 0)</f>
        <v>0</v>
      </c>
      <c r="F435" s="11">
        <f>IF(C435&gt;0.01, D435-E435, 0)</f>
        <v>0</v>
      </c>
      <c r="G435" s="12"/>
      <c r="H435" s="11">
        <f>SUM(F435,G435)</f>
        <v>0</v>
      </c>
      <c r="I435" s="11">
        <f>C435-H435</f>
        <v>0</v>
      </c>
    </row>
    <row r="436" spans="1:9">
      <c r="A436">
        <f>IF(C436&gt;0.01, 435, "")</f>
        <v>0</v>
      </c>
      <c r="B436" s="10">
        <f>IF(C436&gt;0.01,EDATE(B435,12/ZahlungenProJahr),"")</f>
        <v>0</v>
      </c>
      <c r="C436" s="11">
        <f>I435</f>
        <v>0</v>
      </c>
      <c r="D436" s="11">
        <f>IF(C436&gt;0.01, MIN(Rate, C436*(1+Jahreszins/ZahlungenProJahr)), 0)</f>
        <v>0</v>
      </c>
      <c r="E436" s="11">
        <f>IF(C436&gt;0.01, C436*Jahreszins/ZahlungenProJahr, 0)</f>
        <v>0</v>
      </c>
      <c r="F436" s="11">
        <f>IF(C436&gt;0.01, D436-E436, 0)</f>
        <v>0</v>
      </c>
      <c r="G436" s="12"/>
      <c r="H436" s="11">
        <f>SUM(F436,G436)</f>
        <v>0</v>
      </c>
      <c r="I436" s="11">
        <f>C436-H436</f>
        <v>0</v>
      </c>
    </row>
    <row r="437" spans="1:9">
      <c r="A437">
        <f>IF(C437&gt;0.01, 436, "")</f>
        <v>0</v>
      </c>
      <c r="B437" s="10">
        <f>IF(C437&gt;0.01,EDATE(B436,12/ZahlungenProJahr),"")</f>
        <v>0</v>
      </c>
      <c r="C437" s="11">
        <f>I436</f>
        <v>0</v>
      </c>
      <c r="D437" s="11">
        <f>IF(C437&gt;0.01, MIN(Rate, C437*(1+Jahreszins/ZahlungenProJahr)), 0)</f>
        <v>0</v>
      </c>
      <c r="E437" s="11">
        <f>IF(C437&gt;0.01, C437*Jahreszins/ZahlungenProJahr, 0)</f>
        <v>0</v>
      </c>
      <c r="F437" s="11">
        <f>IF(C437&gt;0.01, D437-E437, 0)</f>
        <v>0</v>
      </c>
      <c r="G437" s="12"/>
      <c r="H437" s="11">
        <f>SUM(F437,G437)</f>
        <v>0</v>
      </c>
      <c r="I437" s="11">
        <f>C437-H437</f>
        <v>0</v>
      </c>
    </row>
    <row r="438" spans="1:9">
      <c r="A438">
        <f>IF(C438&gt;0.01, 437, "")</f>
        <v>0</v>
      </c>
      <c r="B438" s="10">
        <f>IF(C438&gt;0.01,EDATE(B437,12/ZahlungenProJahr),"")</f>
        <v>0</v>
      </c>
      <c r="C438" s="11">
        <f>I437</f>
        <v>0</v>
      </c>
      <c r="D438" s="11">
        <f>IF(C438&gt;0.01, MIN(Rate, C438*(1+Jahreszins/ZahlungenProJahr)), 0)</f>
        <v>0</v>
      </c>
      <c r="E438" s="11">
        <f>IF(C438&gt;0.01, C438*Jahreszins/ZahlungenProJahr, 0)</f>
        <v>0</v>
      </c>
      <c r="F438" s="11">
        <f>IF(C438&gt;0.01, D438-E438, 0)</f>
        <v>0</v>
      </c>
      <c r="G438" s="12"/>
      <c r="H438" s="11">
        <f>SUM(F438,G438)</f>
        <v>0</v>
      </c>
      <c r="I438" s="11">
        <f>C438-H438</f>
        <v>0</v>
      </c>
    </row>
    <row r="439" spans="1:9">
      <c r="A439">
        <f>IF(C439&gt;0.01, 438, "")</f>
        <v>0</v>
      </c>
      <c r="B439" s="10">
        <f>IF(C439&gt;0.01,EDATE(B438,12/ZahlungenProJahr),"")</f>
        <v>0</v>
      </c>
      <c r="C439" s="11">
        <f>I438</f>
        <v>0</v>
      </c>
      <c r="D439" s="11">
        <f>IF(C439&gt;0.01, MIN(Rate, C439*(1+Jahreszins/ZahlungenProJahr)), 0)</f>
        <v>0</v>
      </c>
      <c r="E439" s="11">
        <f>IF(C439&gt;0.01, C439*Jahreszins/ZahlungenProJahr, 0)</f>
        <v>0</v>
      </c>
      <c r="F439" s="11">
        <f>IF(C439&gt;0.01, D439-E439, 0)</f>
        <v>0</v>
      </c>
      <c r="G439" s="12"/>
      <c r="H439" s="11">
        <f>SUM(F439,G439)</f>
        <v>0</v>
      </c>
      <c r="I439" s="11">
        <f>C439-H439</f>
        <v>0</v>
      </c>
    </row>
    <row r="440" spans="1:9">
      <c r="A440">
        <f>IF(C440&gt;0.01, 439, "")</f>
        <v>0</v>
      </c>
      <c r="B440" s="10">
        <f>IF(C440&gt;0.01,EDATE(B439,12/ZahlungenProJahr),"")</f>
        <v>0</v>
      </c>
      <c r="C440" s="11">
        <f>I439</f>
        <v>0</v>
      </c>
      <c r="D440" s="11">
        <f>IF(C440&gt;0.01, MIN(Rate, C440*(1+Jahreszins/ZahlungenProJahr)), 0)</f>
        <v>0</v>
      </c>
      <c r="E440" s="11">
        <f>IF(C440&gt;0.01, C440*Jahreszins/ZahlungenProJahr, 0)</f>
        <v>0</v>
      </c>
      <c r="F440" s="11">
        <f>IF(C440&gt;0.01, D440-E440, 0)</f>
        <v>0</v>
      </c>
      <c r="G440" s="12"/>
      <c r="H440" s="11">
        <f>SUM(F440,G440)</f>
        <v>0</v>
      </c>
      <c r="I440" s="11">
        <f>C440-H440</f>
        <v>0</v>
      </c>
    </row>
    <row r="441" spans="1:9">
      <c r="A441">
        <f>IF(C441&gt;0.01, 440, "")</f>
        <v>0</v>
      </c>
      <c r="B441" s="10">
        <f>IF(C441&gt;0.01,EDATE(B440,12/ZahlungenProJahr),"")</f>
        <v>0</v>
      </c>
      <c r="C441" s="11">
        <f>I440</f>
        <v>0</v>
      </c>
      <c r="D441" s="11">
        <f>IF(C441&gt;0.01, MIN(Rate, C441*(1+Jahreszins/ZahlungenProJahr)), 0)</f>
        <v>0</v>
      </c>
      <c r="E441" s="11">
        <f>IF(C441&gt;0.01, C441*Jahreszins/ZahlungenProJahr, 0)</f>
        <v>0</v>
      </c>
      <c r="F441" s="11">
        <f>IF(C441&gt;0.01, D441-E441, 0)</f>
        <v>0</v>
      </c>
      <c r="G441" s="12"/>
      <c r="H441" s="11">
        <f>SUM(F441,G441)</f>
        <v>0</v>
      </c>
      <c r="I441" s="11">
        <f>C441-H441</f>
        <v>0</v>
      </c>
    </row>
    <row r="442" spans="1:9">
      <c r="A442">
        <f>IF(C442&gt;0.01, 441, "")</f>
        <v>0</v>
      </c>
      <c r="B442" s="10">
        <f>IF(C442&gt;0.01,EDATE(B441,12/ZahlungenProJahr),"")</f>
        <v>0</v>
      </c>
      <c r="C442" s="11">
        <f>I441</f>
        <v>0</v>
      </c>
      <c r="D442" s="11">
        <f>IF(C442&gt;0.01, MIN(Rate, C442*(1+Jahreszins/ZahlungenProJahr)), 0)</f>
        <v>0</v>
      </c>
      <c r="E442" s="11">
        <f>IF(C442&gt;0.01, C442*Jahreszins/ZahlungenProJahr, 0)</f>
        <v>0</v>
      </c>
      <c r="F442" s="11">
        <f>IF(C442&gt;0.01, D442-E442, 0)</f>
        <v>0</v>
      </c>
      <c r="G442" s="12"/>
      <c r="H442" s="11">
        <f>SUM(F442,G442)</f>
        <v>0</v>
      </c>
      <c r="I442" s="11">
        <f>C442-H442</f>
        <v>0</v>
      </c>
    </row>
    <row r="443" spans="1:9">
      <c r="A443">
        <f>IF(C443&gt;0.01, 442, "")</f>
        <v>0</v>
      </c>
      <c r="B443" s="10">
        <f>IF(C443&gt;0.01,EDATE(B442,12/ZahlungenProJahr),"")</f>
        <v>0</v>
      </c>
      <c r="C443" s="11">
        <f>I442</f>
        <v>0</v>
      </c>
      <c r="D443" s="11">
        <f>IF(C443&gt;0.01, MIN(Rate, C443*(1+Jahreszins/ZahlungenProJahr)), 0)</f>
        <v>0</v>
      </c>
      <c r="E443" s="11">
        <f>IF(C443&gt;0.01, C443*Jahreszins/ZahlungenProJahr, 0)</f>
        <v>0</v>
      </c>
      <c r="F443" s="11">
        <f>IF(C443&gt;0.01, D443-E443, 0)</f>
        <v>0</v>
      </c>
      <c r="G443" s="12"/>
      <c r="H443" s="11">
        <f>SUM(F443,G443)</f>
        <v>0</v>
      </c>
      <c r="I443" s="11">
        <f>C443-H443</f>
        <v>0</v>
      </c>
    </row>
    <row r="444" spans="1:9">
      <c r="A444">
        <f>IF(C444&gt;0.01, 443, "")</f>
        <v>0</v>
      </c>
      <c r="B444" s="10">
        <f>IF(C444&gt;0.01,EDATE(B443,12/ZahlungenProJahr),"")</f>
        <v>0</v>
      </c>
      <c r="C444" s="11">
        <f>I443</f>
        <v>0</v>
      </c>
      <c r="D444" s="11">
        <f>IF(C444&gt;0.01, MIN(Rate, C444*(1+Jahreszins/ZahlungenProJahr)), 0)</f>
        <v>0</v>
      </c>
      <c r="E444" s="11">
        <f>IF(C444&gt;0.01, C444*Jahreszins/ZahlungenProJahr, 0)</f>
        <v>0</v>
      </c>
      <c r="F444" s="11">
        <f>IF(C444&gt;0.01, D444-E444, 0)</f>
        <v>0</v>
      </c>
      <c r="G444" s="12"/>
      <c r="H444" s="11">
        <f>SUM(F444,G444)</f>
        <v>0</v>
      </c>
      <c r="I444" s="11">
        <f>C444-H444</f>
        <v>0</v>
      </c>
    </row>
    <row r="445" spans="1:9">
      <c r="A445">
        <f>IF(C445&gt;0.01, 444, "")</f>
        <v>0</v>
      </c>
      <c r="B445" s="10">
        <f>IF(C445&gt;0.01,EDATE(B444,12/ZahlungenProJahr),"")</f>
        <v>0</v>
      </c>
      <c r="C445" s="11">
        <f>I444</f>
        <v>0</v>
      </c>
      <c r="D445" s="11">
        <f>IF(C445&gt;0.01, MIN(Rate, C445*(1+Jahreszins/ZahlungenProJahr)), 0)</f>
        <v>0</v>
      </c>
      <c r="E445" s="11">
        <f>IF(C445&gt;0.01, C445*Jahreszins/ZahlungenProJahr, 0)</f>
        <v>0</v>
      </c>
      <c r="F445" s="11">
        <f>IF(C445&gt;0.01, D445-E445, 0)</f>
        <v>0</v>
      </c>
      <c r="G445" s="12"/>
      <c r="H445" s="11">
        <f>SUM(F445,G445)</f>
        <v>0</v>
      </c>
      <c r="I445" s="11">
        <f>C445-H445</f>
        <v>0</v>
      </c>
    </row>
    <row r="446" spans="1:9">
      <c r="A446">
        <f>IF(C446&gt;0.01, 445, "")</f>
        <v>0</v>
      </c>
      <c r="B446" s="10">
        <f>IF(C446&gt;0.01,EDATE(B445,12/ZahlungenProJahr),"")</f>
        <v>0</v>
      </c>
      <c r="C446" s="11">
        <f>I445</f>
        <v>0</v>
      </c>
      <c r="D446" s="11">
        <f>IF(C446&gt;0.01, MIN(Rate, C446*(1+Jahreszins/ZahlungenProJahr)), 0)</f>
        <v>0</v>
      </c>
      <c r="E446" s="11">
        <f>IF(C446&gt;0.01, C446*Jahreszins/ZahlungenProJahr, 0)</f>
        <v>0</v>
      </c>
      <c r="F446" s="11">
        <f>IF(C446&gt;0.01, D446-E446, 0)</f>
        <v>0</v>
      </c>
      <c r="G446" s="12"/>
      <c r="H446" s="11">
        <f>SUM(F446,G446)</f>
        <v>0</v>
      </c>
      <c r="I446" s="11">
        <f>C446-H446</f>
        <v>0</v>
      </c>
    </row>
    <row r="447" spans="1:9">
      <c r="A447">
        <f>IF(C447&gt;0.01, 446, "")</f>
        <v>0</v>
      </c>
      <c r="B447" s="10">
        <f>IF(C447&gt;0.01,EDATE(B446,12/ZahlungenProJahr),"")</f>
        <v>0</v>
      </c>
      <c r="C447" s="11">
        <f>I446</f>
        <v>0</v>
      </c>
      <c r="D447" s="11">
        <f>IF(C447&gt;0.01, MIN(Rate, C447*(1+Jahreszins/ZahlungenProJahr)), 0)</f>
        <v>0</v>
      </c>
      <c r="E447" s="11">
        <f>IF(C447&gt;0.01, C447*Jahreszins/ZahlungenProJahr, 0)</f>
        <v>0</v>
      </c>
      <c r="F447" s="11">
        <f>IF(C447&gt;0.01, D447-E447, 0)</f>
        <v>0</v>
      </c>
      <c r="G447" s="12"/>
      <c r="H447" s="11">
        <f>SUM(F447,G447)</f>
        <v>0</v>
      </c>
      <c r="I447" s="11">
        <f>C447-H447</f>
        <v>0</v>
      </c>
    </row>
    <row r="448" spans="1:9">
      <c r="A448">
        <f>IF(C448&gt;0.01, 447, "")</f>
        <v>0</v>
      </c>
      <c r="B448" s="10">
        <f>IF(C448&gt;0.01,EDATE(B447,12/ZahlungenProJahr),"")</f>
        <v>0</v>
      </c>
      <c r="C448" s="11">
        <f>I447</f>
        <v>0</v>
      </c>
      <c r="D448" s="11">
        <f>IF(C448&gt;0.01, MIN(Rate, C448*(1+Jahreszins/ZahlungenProJahr)), 0)</f>
        <v>0</v>
      </c>
      <c r="E448" s="11">
        <f>IF(C448&gt;0.01, C448*Jahreszins/ZahlungenProJahr, 0)</f>
        <v>0</v>
      </c>
      <c r="F448" s="11">
        <f>IF(C448&gt;0.01, D448-E448, 0)</f>
        <v>0</v>
      </c>
      <c r="G448" s="12"/>
      <c r="H448" s="11">
        <f>SUM(F448,G448)</f>
        <v>0</v>
      </c>
      <c r="I448" s="11">
        <f>C448-H448</f>
        <v>0</v>
      </c>
    </row>
    <row r="449" spans="1:9">
      <c r="A449">
        <f>IF(C449&gt;0.01, 448, "")</f>
        <v>0</v>
      </c>
      <c r="B449" s="10">
        <f>IF(C449&gt;0.01,EDATE(B448,12/ZahlungenProJahr),"")</f>
        <v>0</v>
      </c>
      <c r="C449" s="11">
        <f>I448</f>
        <v>0</v>
      </c>
      <c r="D449" s="11">
        <f>IF(C449&gt;0.01, MIN(Rate, C449*(1+Jahreszins/ZahlungenProJahr)), 0)</f>
        <v>0</v>
      </c>
      <c r="E449" s="11">
        <f>IF(C449&gt;0.01, C449*Jahreszins/ZahlungenProJahr, 0)</f>
        <v>0</v>
      </c>
      <c r="F449" s="11">
        <f>IF(C449&gt;0.01, D449-E449, 0)</f>
        <v>0</v>
      </c>
      <c r="G449" s="12"/>
      <c r="H449" s="11">
        <f>SUM(F449,G449)</f>
        <v>0</v>
      </c>
      <c r="I449" s="11">
        <f>C449-H449</f>
        <v>0</v>
      </c>
    </row>
    <row r="450" spans="1:9">
      <c r="A450">
        <f>IF(C450&gt;0.01, 449, "")</f>
        <v>0</v>
      </c>
      <c r="B450" s="10">
        <f>IF(C450&gt;0.01,EDATE(B449,12/ZahlungenProJahr),"")</f>
        <v>0</v>
      </c>
      <c r="C450" s="11">
        <f>I449</f>
        <v>0</v>
      </c>
      <c r="D450" s="11">
        <f>IF(C450&gt;0.01, MIN(Rate, C450*(1+Jahreszins/ZahlungenProJahr)), 0)</f>
        <v>0</v>
      </c>
      <c r="E450" s="11">
        <f>IF(C450&gt;0.01, C450*Jahreszins/ZahlungenProJahr, 0)</f>
        <v>0</v>
      </c>
      <c r="F450" s="11">
        <f>IF(C450&gt;0.01, D450-E450, 0)</f>
        <v>0</v>
      </c>
      <c r="G450" s="12"/>
      <c r="H450" s="11">
        <f>SUM(F450,G450)</f>
        <v>0</v>
      </c>
      <c r="I450" s="11">
        <f>C450-H450</f>
        <v>0</v>
      </c>
    </row>
    <row r="451" spans="1:9">
      <c r="A451">
        <f>IF(C451&gt;0.01, 450, "")</f>
        <v>0</v>
      </c>
      <c r="B451" s="10">
        <f>IF(C451&gt;0.01,EDATE(B450,12/ZahlungenProJahr),"")</f>
        <v>0</v>
      </c>
      <c r="C451" s="11">
        <f>I450</f>
        <v>0</v>
      </c>
      <c r="D451" s="11">
        <f>IF(C451&gt;0.01, MIN(Rate, C451*(1+Jahreszins/ZahlungenProJahr)), 0)</f>
        <v>0</v>
      </c>
      <c r="E451" s="11">
        <f>IF(C451&gt;0.01, C451*Jahreszins/ZahlungenProJahr, 0)</f>
        <v>0</v>
      </c>
      <c r="F451" s="11">
        <f>IF(C451&gt;0.01, D451-E451, 0)</f>
        <v>0</v>
      </c>
      <c r="G451" s="12"/>
      <c r="H451" s="11">
        <f>SUM(F451,G451)</f>
        <v>0</v>
      </c>
      <c r="I451" s="11">
        <f>C451-H451</f>
        <v>0</v>
      </c>
    </row>
    <row r="452" spans="1:9">
      <c r="A452">
        <f>IF(C452&gt;0.01, 451, "")</f>
        <v>0</v>
      </c>
      <c r="B452" s="10">
        <f>IF(C452&gt;0.01,EDATE(B451,12/ZahlungenProJahr),"")</f>
        <v>0</v>
      </c>
      <c r="C452" s="11">
        <f>I451</f>
        <v>0</v>
      </c>
      <c r="D452" s="11">
        <f>IF(C452&gt;0.01, MIN(Rate, C452*(1+Jahreszins/ZahlungenProJahr)), 0)</f>
        <v>0</v>
      </c>
      <c r="E452" s="11">
        <f>IF(C452&gt;0.01, C452*Jahreszins/ZahlungenProJahr, 0)</f>
        <v>0</v>
      </c>
      <c r="F452" s="11">
        <f>IF(C452&gt;0.01, D452-E452, 0)</f>
        <v>0</v>
      </c>
      <c r="G452" s="12"/>
      <c r="H452" s="11">
        <f>SUM(F452,G452)</f>
        <v>0</v>
      </c>
      <c r="I452" s="11">
        <f>C452-H452</f>
        <v>0</v>
      </c>
    </row>
    <row r="453" spans="1:9">
      <c r="A453">
        <f>IF(C453&gt;0.01, 452, "")</f>
        <v>0</v>
      </c>
      <c r="B453" s="10">
        <f>IF(C453&gt;0.01,EDATE(B452,12/ZahlungenProJahr),"")</f>
        <v>0</v>
      </c>
      <c r="C453" s="11">
        <f>I452</f>
        <v>0</v>
      </c>
      <c r="D453" s="11">
        <f>IF(C453&gt;0.01, MIN(Rate, C453*(1+Jahreszins/ZahlungenProJahr)), 0)</f>
        <v>0</v>
      </c>
      <c r="E453" s="11">
        <f>IF(C453&gt;0.01, C453*Jahreszins/ZahlungenProJahr, 0)</f>
        <v>0</v>
      </c>
      <c r="F453" s="11">
        <f>IF(C453&gt;0.01, D453-E453, 0)</f>
        <v>0</v>
      </c>
      <c r="G453" s="12"/>
      <c r="H453" s="11">
        <f>SUM(F453,G453)</f>
        <v>0</v>
      </c>
      <c r="I453" s="11">
        <f>C453-H453</f>
        <v>0</v>
      </c>
    </row>
    <row r="454" spans="1:9">
      <c r="A454">
        <f>IF(C454&gt;0.01, 453, "")</f>
        <v>0</v>
      </c>
      <c r="B454" s="10">
        <f>IF(C454&gt;0.01,EDATE(B453,12/ZahlungenProJahr),"")</f>
        <v>0</v>
      </c>
      <c r="C454" s="11">
        <f>I453</f>
        <v>0</v>
      </c>
      <c r="D454" s="11">
        <f>IF(C454&gt;0.01, MIN(Rate, C454*(1+Jahreszins/ZahlungenProJahr)), 0)</f>
        <v>0</v>
      </c>
      <c r="E454" s="11">
        <f>IF(C454&gt;0.01, C454*Jahreszins/ZahlungenProJahr, 0)</f>
        <v>0</v>
      </c>
      <c r="F454" s="11">
        <f>IF(C454&gt;0.01, D454-E454, 0)</f>
        <v>0</v>
      </c>
      <c r="G454" s="12"/>
      <c r="H454" s="11">
        <f>SUM(F454,G454)</f>
        <v>0</v>
      </c>
      <c r="I454" s="11">
        <f>C454-H454</f>
        <v>0</v>
      </c>
    </row>
    <row r="455" spans="1:9">
      <c r="A455">
        <f>IF(C455&gt;0.01, 454, "")</f>
        <v>0</v>
      </c>
      <c r="B455" s="10">
        <f>IF(C455&gt;0.01,EDATE(B454,12/ZahlungenProJahr),"")</f>
        <v>0</v>
      </c>
      <c r="C455" s="11">
        <f>I454</f>
        <v>0</v>
      </c>
      <c r="D455" s="11">
        <f>IF(C455&gt;0.01, MIN(Rate, C455*(1+Jahreszins/ZahlungenProJahr)), 0)</f>
        <v>0</v>
      </c>
      <c r="E455" s="11">
        <f>IF(C455&gt;0.01, C455*Jahreszins/ZahlungenProJahr, 0)</f>
        <v>0</v>
      </c>
      <c r="F455" s="11">
        <f>IF(C455&gt;0.01, D455-E455, 0)</f>
        <v>0</v>
      </c>
      <c r="G455" s="12"/>
      <c r="H455" s="11">
        <f>SUM(F455,G455)</f>
        <v>0</v>
      </c>
      <c r="I455" s="11">
        <f>C455-H455</f>
        <v>0</v>
      </c>
    </row>
    <row r="456" spans="1:9">
      <c r="A456">
        <f>IF(C456&gt;0.01, 455, "")</f>
        <v>0</v>
      </c>
      <c r="B456" s="10">
        <f>IF(C456&gt;0.01,EDATE(B455,12/ZahlungenProJahr),"")</f>
        <v>0</v>
      </c>
      <c r="C456" s="11">
        <f>I455</f>
        <v>0</v>
      </c>
      <c r="D456" s="11">
        <f>IF(C456&gt;0.01, MIN(Rate, C456*(1+Jahreszins/ZahlungenProJahr)), 0)</f>
        <v>0</v>
      </c>
      <c r="E456" s="11">
        <f>IF(C456&gt;0.01, C456*Jahreszins/ZahlungenProJahr, 0)</f>
        <v>0</v>
      </c>
      <c r="F456" s="11">
        <f>IF(C456&gt;0.01, D456-E456, 0)</f>
        <v>0</v>
      </c>
      <c r="G456" s="12"/>
      <c r="H456" s="11">
        <f>SUM(F456,G456)</f>
        <v>0</v>
      </c>
      <c r="I456" s="11">
        <f>C456-H456</f>
        <v>0</v>
      </c>
    </row>
    <row r="457" spans="1:9">
      <c r="A457">
        <f>IF(C457&gt;0.01, 456, "")</f>
        <v>0</v>
      </c>
      <c r="B457" s="10">
        <f>IF(C457&gt;0.01,EDATE(B456,12/ZahlungenProJahr),"")</f>
        <v>0</v>
      </c>
      <c r="C457" s="11">
        <f>I456</f>
        <v>0</v>
      </c>
      <c r="D457" s="11">
        <f>IF(C457&gt;0.01, MIN(Rate, C457*(1+Jahreszins/ZahlungenProJahr)), 0)</f>
        <v>0</v>
      </c>
      <c r="E457" s="11">
        <f>IF(C457&gt;0.01, C457*Jahreszins/ZahlungenProJahr, 0)</f>
        <v>0</v>
      </c>
      <c r="F457" s="11">
        <f>IF(C457&gt;0.01, D457-E457, 0)</f>
        <v>0</v>
      </c>
      <c r="G457" s="12"/>
      <c r="H457" s="11">
        <f>SUM(F457,G457)</f>
        <v>0</v>
      </c>
      <c r="I457" s="11">
        <f>C457-H457</f>
        <v>0</v>
      </c>
    </row>
    <row r="458" spans="1:9">
      <c r="A458">
        <f>IF(C458&gt;0.01, 457, "")</f>
        <v>0</v>
      </c>
      <c r="B458" s="10">
        <f>IF(C458&gt;0.01,EDATE(B457,12/ZahlungenProJahr),"")</f>
        <v>0</v>
      </c>
      <c r="C458" s="11">
        <f>I457</f>
        <v>0</v>
      </c>
      <c r="D458" s="11">
        <f>IF(C458&gt;0.01, MIN(Rate, C458*(1+Jahreszins/ZahlungenProJahr)), 0)</f>
        <v>0</v>
      </c>
      <c r="E458" s="11">
        <f>IF(C458&gt;0.01, C458*Jahreszins/ZahlungenProJahr, 0)</f>
        <v>0</v>
      </c>
      <c r="F458" s="11">
        <f>IF(C458&gt;0.01, D458-E458, 0)</f>
        <v>0</v>
      </c>
      <c r="G458" s="12"/>
      <c r="H458" s="11">
        <f>SUM(F458,G458)</f>
        <v>0</v>
      </c>
      <c r="I458" s="11">
        <f>C458-H458</f>
        <v>0</v>
      </c>
    </row>
    <row r="459" spans="1:9">
      <c r="A459">
        <f>IF(C459&gt;0.01, 458, "")</f>
        <v>0</v>
      </c>
      <c r="B459" s="10">
        <f>IF(C459&gt;0.01,EDATE(B458,12/ZahlungenProJahr),"")</f>
        <v>0</v>
      </c>
      <c r="C459" s="11">
        <f>I458</f>
        <v>0</v>
      </c>
      <c r="D459" s="11">
        <f>IF(C459&gt;0.01, MIN(Rate, C459*(1+Jahreszins/ZahlungenProJahr)), 0)</f>
        <v>0</v>
      </c>
      <c r="E459" s="11">
        <f>IF(C459&gt;0.01, C459*Jahreszins/ZahlungenProJahr, 0)</f>
        <v>0</v>
      </c>
      <c r="F459" s="11">
        <f>IF(C459&gt;0.01, D459-E459, 0)</f>
        <v>0</v>
      </c>
      <c r="G459" s="12"/>
      <c r="H459" s="11">
        <f>SUM(F459,G459)</f>
        <v>0</v>
      </c>
      <c r="I459" s="11">
        <f>C459-H459</f>
        <v>0</v>
      </c>
    </row>
    <row r="460" spans="1:9">
      <c r="A460">
        <f>IF(C460&gt;0.01, 459, "")</f>
        <v>0</v>
      </c>
      <c r="B460" s="10">
        <f>IF(C460&gt;0.01,EDATE(B459,12/ZahlungenProJahr),"")</f>
        <v>0</v>
      </c>
      <c r="C460" s="11">
        <f>I459</f>
        <v>0</v>
      </c>
      <c r="D460" s="11">
        <f>IF(C460&gt;0.01, MIN(Rate, C460*(1+Jahreszins/ZahlungenProJahr)), 0)</f>
        <v>0</v>
      </c>
      <c r="E460" s="11">
        <f>IF(C460&gt;0.01, C460*Jahreszins/ZahlungenProJahr, 0)</f>
        <v>0</v>
      </c>
      <c r="F460" s="11">
        <f>IF(C460&gt;0.01, D460-E460, 0)</f>
        <v>0</v>
      </c>
      <c r="G460" s="12"/>
      <c r="H460" s="11">
        <f>SUM(F460,G460)</f>
        <v>0</v>
      </c>
      <c r="I460" s="11">
        <f>C460-H460</f>
        <v>0</v>
      </c>
    </row>
    <row r="461" spans="1:9">
      <c r="A461">
        <f>IF(C461&gt;0.01, 460, "")</f>
        <v>0</v>
      </c>
      <c r="B461" s="10">
        <f>IF(C461&gt;0.01,EDATE(B460,12/ZahlungenProJahr),"")</f>
        <v>0</v>
      </c>
      <c r="C461" s="11">
        <f>I460</f>
        <v>0</v>
      </c>
      <c r="D461" s="11">
        <f>IF(C461&gt;0.01, MIN(Rate, C461*(1+Jahreszins/ZahlungenProJahr)), 0)</f>
        <v>0</v>
      </c>
      <c r="E461" s="11">
        <f>IF(C461&gt;0.01, C461*Jahreszins/ZahlungenProJahr, 0)</f>
        <v>0</v>
      </c>
      <c r="F461" s="11">
        <f>IF(C461&gt;0.01, D461-E461, 0)</f>
        <v>0</v>
      </c>
      <c r="G461" s="12"/>
      <c r="H461" s="11">
        <f>SUM(F461,G461)</f>
        <v>0</v>
      </c>
      <c r="I461" s="11">
        <f>C461-H461</f>
        <v>0</v>
      </c>
    </row>
    <row r="462" spans="1:9">
      <c r="A462">
        <f>IF(C462&gt;0.01, 461, "")</f>
        <v>0</v>
      </c>
      <c r="B462" s="10">
        <f>IF(C462&gt;0.01,EDATE(B461,12/ZahlungenProJahr),"")</f>
        <v>0</v>
      </c>
      <c r="C462" s="11">
        <f>I461</f>
        <v>0</v>
      </c>
      <c r="D462" s="11">
        <f>IF(C462&gt;0.01, MIN(Rate, C462*(1+Jahreszins/ZahlungenProJahr)), 0)</f>
        <v>0</v>
      </c>
      <c r="E462" s="11">
        <f>IF(C462&gt;0.01, C462*Jahreszins/ZahlungenProJahr, 0)</f>
        <v>0</v>
      </c>
      <c r="F462" s="11">
        <f>IF(C462&gt;0.01, D462-E462, 0)</f>
        <v>0</v>
      </c>
      <c r="G462" s="12"/>
      <c r="H462" s="11">
        <f>SUM(F462,G462)</f>
        <v>0</v>
      </c>
      <c r="I462" s="11">
        <f>C462-H462</f>
        <v>0</v>
      </c>
    </row>
    <row r="463" spans="1:9">
      <c r="A463">
        <f>IF(C463&gt;0.01, 462, "")</f>
        <v>0</v>
      </c>
      <c r="B463" s="10">
        <f>IF(C463&gt;0.01,EDATE(B462,12/ZahlungenProJahr),"")</f>
        <v>0</v>
      </c>
      <c r="C463" s="11">
        <f>I462</f>
        <v>0</v>
      </c>
      <c r="D463" s="11">
        <f>IF(C463&gt;0.01, MIN(Rate, C463*(1+Jahreszins/ZahlungenProJahr)), 0)</f>
        <v>0</v>
      </c>
      <c r="E463" s="11">
        <f>IF(C463&gt;0.01, C463*Jahreszins/ZahlungenProJahr, 0)</f>
        <v>0</v>
      </c>
      <c r="F463" s="11">
        <f>IF(C463&gt;0.01, D463-E463, 0)</f>
        <v>0</v>
      </c>
      <c r="G463" s="12"/>
      <c r="H463" s="11">
        <f>SUM(F463,G463)</f>
        <v>0</v>
      </c>
      <c r="I463" s="11">
        <f>C463-H463</f>
        <v>0</v>
      </c>
    </row>
    <row r="464" spans="1:9">
      <c r="A464">
        <f>IF(C464&gt;0.01, 463, "")</f>
        <v>0</v>
      </c>
      <c r="B464" s="10">
        <f>IF(C464&gt;0.01,EDATE(B463,12/ZahlungenProJahr),"")</f>
        <v>0</v>
      </c>
      <c r="C464" s="11">
        <f>I463</f>
        <v>0</v>
      </c>
      <c r="D464" s="11">
        <f>IF(C464&gt;0.01, MIN(Rate, C464*(1+Jahreszins/ZahlungenProJahr)), 0)</f>
        <v>0</v>
      </c>
      <c r="E464" s="11">
        <f>IF(C464&gt;0.01, C464*Jahreszins/ZahlungenProJahr, 0)</f>
        <v>0</v>
      </c>
      <c r="F464" s="11">
        <f>IF(C464&gt;0.01, D464-E464, 0)</f>
        <v>0</v>
      </c>
      <c r="G464" s="12"/>
      <c r="H464" s="11">
        <f>SUM(F464,G464)</f>
        <v>0</v>
      </c>
      <c r="I464" s="11">
        <f>C464-H464</f>
        <v>0</v>
      </c>
    </row>
    <row r="465" spans="1:9">
      <c r="A465">
        <f>IF(C465&gt;0.01, 464, "")</f>
        <v>0</v>
      </c>
      <c r="B465" s="10">
        <f>IF(C465&gt;0.01,EDATE(B464,12/ZahlungenProJahr),"")</f>
        <v>0</v>
      </c>
      <c r="C465" s="11">
        <f>I464</f>
        <v>0</v>
      </c>
      <c r="D465" s="11">
        <f>IF(C465&gt;0.01, MIN(Rate, C465*(1+Jahreszins/ZahlungenProJahr)), 0)</f>
        <v>0</v>
      </c>
      <c r="E465" s="11">
        <f>IF(C465&gt;0.01, C465*Jahreszins/ZahlungenProJahr, 0)</f>
        <v>0</v>
      </c>
      <c r="F465" s="11">
        <f>IF(C465&gt;0.01, D465-E465, 0)</f>
        <v>0</v>
      </c>
      <c r="G465" s="12"/>
      <c r="H465" s="11">
        <f>SUM(F465,G465)</f>
        <v>0</v>
      </c>
      <c r="I465" s="11">
        <f>C465-H465</f>
        <v>0</v>
      </c>
    </row>
    <row r="466" spans="1:9">
      <c r="A466">
        <f>IF(C466&gt;0.01, 465, "")</f>
        <v>0</v>
      </c>
      <c r="B466" s="10">
        <f>IF(C466&gt;0.01,EDATE(B465,12/ZahlungenProJahr),"")</f>
        <v>0</v>
      </c>
      <c r="C466" s="11">
        <f>I465</f>
        <v>0</v>
      </c>
      <c r="D466" s="11">
        <f>IF(C466&gt;0.01, MIN(Rate, C466*(1+Jahreszins/ZahlungenProJahr)), 0)</f>
        <v>0</v>
      </c>
      <c r="E466" s="11">
        <f>IF(C466&gt;0.01, C466*Jahreszins/ZahlungenProJahr, 0)</f>
        <v>0</v>
      </c>
      <c r="F466" s="11">
        <f>IF(C466&gt;0.01, D466-E466, 0)</f>
        <v>0</v>
      </c>
      <c r="G466" s="12"/>
      <c r="H466" s="11">
        <f>SUM(F466,G466)</f>
        <v>0</v>
      </c>
      <c r="I466" s="11">
        <f>C466-H466</f>
        <v>0</v>
      </c>
    </row>
    <row r="467" spans="1:9">
      <c r="A467">
        <f>IF(C467&gt;0.01, 466, "")</f>
        <v>0</v>
      </c>
      <c r="B467" s="10">
        <f>IF(C467&gt;0.01,EDATE(B466,12/ZahlungenProJahr),"")</f>
        <v>0</v>
      </c>
      <c r="C467" s="11">
        <f>I466</f>
        <v>0</v>
      </c>
      <c r="D467" s="11">
        <f>IF(C467&gt;0.01, MIN(Rate, C467*(1+Jahreszins/ZahlungenProJahr)), 0)</f>
        <v>0</v>
      </c>
      <c r="E467" s="11">
        <f>IF(C467&gt;0.01, C467*Jahreszins/ZahlungenProJahr, 0)</f>
        <v>0</v>
      </c>
      <c r="F467" s="11">
        <f>IF(C467&gt;0.01, D467-E467, 0)</f>
        <v>0</v>
      </c>
      <c r="G467" s="12"/>
      <c r="H467" s="11">
        <f>SUM(F467,G467)</f>
        <v>0</v>
      </c>
      <c r="I467" s="11">
        <f>C467-H467</f>
        <v>0</v>
      </c>
    </row>
    <row r="468" spans="1:9">
      <c r="A468">
        <f>IF(C468&gt;0.01, 467, "")</f>
        <v>0</v>
      </c>
      <c r="B468" s="10">
        <f>IF(C468&gt;0.01,EDATE(B467,12/ZahlungenProJahr),"")</f>
        <v>0</v>
      </c>
      <c r="C468" s="11">
        <f>I467</f>
        <v>0</v>
      </c>
      <c r="D468" s="11">
        <f>IF(C468&gt;0.01, MIN(Rate, C468*(1+Jahreszins/ZahlungenProJahr)), 0)</f>
        <v>0</v>
      </c>
      <c r="E468" s="11">
        <f>IF(C468&gt;0.01, C468*Jahreszins/ZahlungenProJahr, 0)</f>
        <v>0</v>
      </c>
      <c r="F468" s="11">
        <f>IF(C468&gt;0.01, D468-E468, 0)</f>
        <v>0</v>
      </c>
      <c r="G468" s="12"/>
      <c r="H468" s="11">
        <f>SUM(F468,G468)</f>
        <v>0</v>
      </c>
      <c r="I468" s="11">
        <f>C468-H468</f>
        <v>0</v>
      </c>
    </row>
    <row r="469" spans="1:9">
      <c r="A469">
        <f>IF(C469&gt;0.01, 468, "")</f>
        <v>0</v>
      </c>
      <c r="B469" s="10">
        <f>IF(C469&gt;0.01,EDATE(B468,12/ZahlungenProJahr),"")</f>
        <v>0</v>
      </c>
      <c r="C469" s="11">
        <f>I468</f>
        <v>0</v>
      </c>
      <c r="D469" s="11">
        <f>IF(C469&gt;0.01, MIN(Rate, C469*(1+Jahreszins/ZahlungenProJahr)), 0)</f>
        <v>0</v>
      </c>
      <c r="E469" s="11">
        <f>IF(C469&gt;0.01, C469*Jahreszins/ZahlungenProJahr, 0)</f>
        <v>0</v>
      </c>
      <c r="F469" s="11">
        <f>IF(C469&gt;0.01, D469-E469, 0)</f>
        <v>0</v>
      </c>
      <c r="G469" s="12"/>
      <c r="H469" s="11">
        <f>SUM(F469,G469)</f>
        <v>0</v>
      </c>
      <c r="I469" s="11">
        <f>C469-H469</f>
        <v>0</v>
      </c>
    </row>
    <row r="470" spans="1:9">
      <c r="A470">
        <f>IF(C470&gt;0.01, 469, "")</f>
        <v>0</v>
      </c>
      <c r="B470" s="10">
        <f>IF(C470&gt;0.01,EDATE(B469,12/ZahlungenProJahr),"")</f>
        <v>0</v>
      </c>
      <c r="C470" s="11">
        <f>I469</f>
        <v>0</v>
      </c>
      <c r="D470" s="11">
        <f>IF(C470&gt;0.01, MIN(Rate, C470*(1+Jahreszins/ZahlungenProJahr)), 0)</f>
        <v>0</v>
      </c>
      <c r="E470" s="11">
        <f>IF(C470&gt;0.01, C470*Jahreszins/ZahlungenProJahr, 0)</f>
        <v>0</v>
      </c>
      <c r="F470" s="11">
        <f>IF(C470&gt;0.01, D470-E470, 0)</f>
        <v>0</v>
      </c>
      <c r="G470" s="12"/>
      <c r="H470" s="11">
        <f>SUM(F470,G470)</f>
        <v>0</v>
      </c>
      <c r="I470" s="11">
        <f>C470-H470</f>
        <v>0</v>
      </c>
    </row>
    <row r="471" spans="1:9">
      <c r="A471">
        <f>IF(C471&gt;0.01, 470, "")</f>
        <v>0</v>
      </c>
      <c r="B471" s="10">
        <f>IF(C471&gt;0.01,EDATE(B470,12/ZahlungenProJahr),"")</f>
        <v>0</v>
      </c>
      <c r="C471" s="11">
        <f>I470</f>
        <v>0</v>
      </c>
      <c r="D471" s="11">
        <f>IF(C471&gt;0.01, MIN(Rate, C471*(1+Jahreszins/ZahlungenProJahr)), 0)</f>
        <v>0</v>
      </c>
      <c r="E471" s="11">
        <f>IF(C471&gt;0.01, C471*Jahreszins/ZahlungenProJahr, 0)</f>
        <v>0</v>
      </c>
      <c r="F471" s="11">
        <f>IF(C471&gt;0.01, D471-E471, 0)</f>
        <v>0</v>
      </c>
      <c r="G471" s="12"/>
      <c r="H471" s="11">
        <f>SUM(F471,G471)</f>
        <v>0</v>
      </c>
      <c r="I471" s="11">
        <f>C471-H471</f>
        <v>0</v>
      </c>
    </row>
    <row r="472" spans="1:9">
      <c r="A472">
        <f>IF(C472&gt;0.01, 471, "")</f>
        <v>0</v>
      </c>
      <c r="B472" s="10">
        <f>IF(C472&gt;0.01,EDATE(B471,12/ZahlungenProJahr),"")</f>
        <v>0</v>
      </c>
      <c r="C472" s="11">
        <f>I471</f>
        <v>0</v>
      </c>
      <c r="D472" s="11">
        <f>IF(C472&gt;0.01, MIN(Rate, C472*(1+Jahreszins/ZahlungenProJahr)), 0)</f>
        <v>0</v>
      </c>
      <c r="E472" s="11">
        <f>IF(C472&gt;0.01, C472*Jahreszins/ZahlungenProJahr, 0)</f>
        <v>0</v>
      </c>
      <c r="F472" s="11">
        <f>IF(C472&gt;0.01, D472-E472, 0)</f>
        <v>0</v>
      </c>
      <c r="G472" s="12"/>
      <c r="H472" s="11">
        <f>SUM(F472,G472)</f>
        <v>0</v>
      </c>
      <c r="I472" s="11">
        <f>C472-H472</f>
        <v>0</v>
      </c>
    </row>
    <row r="473" spans="1:9">
      <c r="A473">
        <f>IF(C473&gt;0.01, 472, "")</f>
        <v>0</v>
      </c>
      <c r="B473" s="10">
        <f>IF(C473&gt;0.01,EDATE(B472,12/ZahlungenProJahr),"")</f>
        <v>0</v>
      </c>
      <c r="C473" s="11">
        <f>I472</f>
        <v>0</v>
      </c>
      <c r="D473" s="11">
        <f>IF(C473&gt;0.01, MIN(Rate, C473*(1+Jahreszins/ZahlungenProJahr)), 0)</f>
        <v>0</v>
      </c>
      <c r="E473" s="11">
        <f>IF(C473&gt;0.01, C473*Jahreszins/ZahlungenProJahr, 0)</f>
        <v>0</v>
      </c>
      <c r="F473" s="11">
        <f>IF(C473&gt;0.01, D473-E473, 0)</f>
        <v>0</v>
      </c>
      <c r="G473" s="12"/>
      <c r="H473" s="11">
        <f>SUM(F473,G473)</f>
        <v>0</v>
      </c>
      <c r="I473" s="11">
        <f>C473-H473</f>
        <v>0</v>
      </c>
    </row>
    <row r="474" spans="1:9">
      <c r="A474">
        <f>IF(C474&gt;0.01, 473, "")</f>
        <v>0</v>
      </c>
      <c r="B474" s="10">
        <f>IF(C474&gt;0.01,EDATE(B473,12/ZahlungenProJahr),"")</f>
        <v>0</v>
      </c>
      <c r="C474" s="11">
        <f>I473</f>
        <v>0</v>
      </c>
      <c r="D474" s="11">
        <f>IF(C474&gt;0.01, MIN(Rate, C474*(1+Jahreszins/ZahlungenProJahr)), 0)</f>
        <v>0</v>
      </c>
      <c r="E474" s="11">
        <f>IF(C474&gt;0.01, C474*Jahreszins/ZahlungenProJahr, 0)</f>
        <v>0</v>
      </c>
      <c r="F474" s="11">
        <f>IF(C474&gt;0.01, D474-E474, 0)</f>
        <v>0</v>
      </c>
      <c r="G474" s="12"/>
      <c r="H474" s="11">
        <f>SUM(F474,G474)</f>
        <v>0</v>
      </c>
      <c r="I474" s="11">
        <f>C474-H474</f>
        <v>0</v>
      </c>
    </row>
    <row r="475" spans="1:9">
      <c r="A475">
        <f>IF(C475&gt;0.01, 474, "")</f>
        <v>0</v>
      </c>
      <c r="B475" s="10">
        <f>IF(C475&gt;0.01,EDATE(B474,12/ZahlungenProJahr),"")</f>
        <v>0</v>
      </c>
      <c r="C475" s="11">
        <f>I474</f>
        <v>0</v>
      </c>
      <c r="D475" s="11">
        <f>IF(C475&gt;0.01, MIN(Rate, C475*(1+Jahreszins/ZahlungenProJahr)), 0)</f>
        <v>0</v>
      </c>
      <c r="E475" s="11">
        <f>IF(C475&gt;0.01, C475*Jahreszins/ZahlungenProJahr, 0)</f>
        <v>0</v>
      </c>
      <c r="F475" s="11">
        <f>IF(C475&gt;0.01, D475-E475, 0)</f>
        <v>0</v>
      </c>
      <c r="G475" s="12"/>
      <c r="H475" s="11">
        <f>SUM(F475,G475)</f>
        <v>0</v>
      </c>
      <c r="I475" s="11">
        <f>C475-H475</f>
        <v>0</v>
      </c>
    </row>
    <row r="476" spans="1:9">
      <c r="A476">
        <f>IF(C476&gt;0.01, 475, "")</f>
        <v>0</v>
      </c>
      <c r="B476" s="10">
        <f>IF(C476&gt;0.01,EDATE(B475,12/ZahlungenProJahr),"")</f>
        <v>0</v>
      </c>
      <c r="C476" s="11">
        <f>I475</f>
        <v>0</v>
      </c>
      <c r="D476" s="11">
        <f>IF(C476&gt;0.01, MIN(Rate, C476*(1+Jahreszins/ZahlungenProJahr)), 0)</f>
        <v>0</v>
      </c>
      <c r="E476" s="11">
        <f>IF(C476&gt;0.01, C476*Jahreszins/ZahlungenProJahr, 0)</f>
        <v>0</v>
      </c>
      <c r="F476" s="11">
        <f>IF(C476&gt;0.01, D476-E476, 0)</f>
        <v>0</v>
      </c>
      <c r="G476" s="12"/>
      <c r="H476" s="11">
        <f>SUM(F476,G476)</f>
        <v>0</v>
      </c>
      <c r="I476" s="11">
        <f>C476-H476</f>
        <v>0</v>
      </c>
    </row>
    <row r="477" spans="1:9">
      <c r="A477">
        <f>IF(C477&gt;0.01, 476, "")</f>
        <v>0</v>
      </c>
      <c r="B477" s="10">
        <f>IF(C477&gt;0.01,EDATE(B476,12/ZahlungenProJahr),"")</f>
        <v>0</v>
      </c>
      <c r="C477" s="11">
        <f>I476</f>
        <v>0</v>
      </c>
      <c r="D477" s="11">
        <f>IF(C477&gt;0.01, MIN(Rate, C477*(1+Jahreszins/ZahlungenProJahr)), 0)</f>
        <v>0</v>
      </c>
      <c r="E477" s="11">
        <f>IF(C477&gt;0.01, C477*Jahreszins/ZahlungenProJahr, 0)</f>
        <v>0</v>
      </c>
      <c r="F477" s="11">
        <f>IF(C477&gt;0.01, D477-E477, 0)</f>
        <v>0</v>
      </c>
      <c r="G477" s="12"/>
      <c r="H477" s="11">
        <f>SUM(F477,G477)</f>
        <v>0</v>
      </c>
      <c r="I477" s="11">
        <f>C477-H477</f>
        <v>0</v>
      </c>
    </row>
    <row r="478" spans="1:9">
      <c r="A478">
        <f>IF(C478&gt;0.01, 477, "")</f>
        <v>0</v>
      </c>
      <c r="B478" s="10">
        <f>IF(C478&gt;0.01,EDATE(B477,12/ZahlungenProJahr),"")</f>
        <v>0</v>
      </c>
      <c r="C478" s="11">
        <f>I477</f>
        <v>0</v>
      </c>
      <c r="D478" s="11">
        <f>IF(C478&gt;0.01, MIN(Rate, C478*(1+Jahreszins/ZahlungenProJahr)), 0)</f>
        <v>0</v>
      </c>
      <c r="E478" s="11">
        <f>IF(C478&gt;0.01, C478*Jahreszins/ZahlungenProJahr, 0)</f>
        <v>0</v>
      </c>
      <c r="F478" s="11">
        <f>IF(C478&gt;0.01, D478-E478, 0)</f>
        <v>0</v>
      </c>
      <c r="G478" s="12"/>
      <c r="H478" s="11">
        <f>SUM(F478,G478)</f>
        <v>0</v>
      </c>
      <c r="I478" s="11">
        <f>C478-H478</f>
        <v>0</v>
      </c>
    </row>
    <row r="479" spans="1:9">
      <c r="A479">
        <f>IF(C479&gt;0.01, 478, "")</f>
        <v>0</v>
      </c>
      <c r="B479" s="10">
        <f>IF(C479&gt;0.01,EDATE(B478,12/ZahlungenProJahr),"")</f>
        <v>0</v>
      </c>
      <c r="C479" s="11">
        <f>I478</f>
        <v>0</v>
      </c>
      <c r="D479" s="11">
        <f>IF(C479&gt;0.01, MIN(Rate, C479*(1+Jahreszins/ZahlungenProJahr)), 0)</f>
        <v>0</v>
      </c>
      <c r="E479" s="11">
        <f>IF(C479&gt;0.01, C479*Jahreszins/ZahlungenProJahr, 0)</f>
        <v>0</v>
      </c>
      <c r="F479" s="11">
        <f>IF(C479&gt;0.01, D479-E479, 0)</f>
        <v>0</v>
      </c>
      <c r="G479" s="12"/>
      <c r="H479" s="11">
        <f>SUM(F479,G479)</f>
        <v>0</v>
      </c>
      <c r="I479" s="11">
        <f>C479-H479</f>
        <v>0</v>
      </c>
    </row>
    <row r="480" spans="1:9">
      <c r="A480">
        <f>IF(C480&gt;0.01, 479, "")</f>
        <v>0</v>
      </c>
      <c r="B480" s="10">
        <f>IF(C480&gt;0.01,EDATE(B479,12/ZahlungenProJahr),"")</f>
        <v>0</v>
      </c>
      <c r="C480" s="11">
        <f>I479</f>
        <v>0</v>
      </c>
      <c r="D480" s="11">
        <f>IF(C480&gt;0.01, MIN(Rate, C480*(1+Jahreszins/ZahlungenProJahr)), 0)</f>
        <v>0</v>
      </c>
      <c r="E480" s="11">
        <f>IF(C480&gt;0.01, C480*Jahreszins/ZahlungenProJahr, 0)</f>
        <v>0</v>
      </c>
      <c r="F480" s="11">
        <f>IF(C480&gt;0.01, D480-E480, 0)</f>
        <v>0</v>
      </c>
      <c r="G480" s="12"/>
      <c r="H480" s="11">
        <f>SUM(F480,G480)</f>
        <v>0</v>
      </c>
      <c r="I480" s="11">
        <f>C480-H480</f>
        <v>0</v>
      </c>
    </row>
    <row r="481" spans="1:9">
      <c r="A481">
        <f>IF(C481&gt;0.01, 480, "")</f>
        <v>0</v>
      </c>
      <c r="B481" s="10">
        <f>IF(C481&gt;0.01,EDATE(B480,12/ZahlungenProJahr),"")</f>
        <v>0</v>
      </c>
      <c r="C481" s="11">
        <f>I480</f>
        <v>0</v>
      </c>
      <c r="D481" s="11">
        <f>IF(C481&gt;0.01, MIN(Rate, C481*(1+Jahreszins/ZahlungenProJahr)), 0)</f>
        <v>0</v>
      </c>
      <c r="E481" s="11">
        <f>IF(C481&gt;0.01, C481*Jahreszins/ZahlungenProJahr, 0)</f>
        <v>0</v>
      </c>
      <c r="F481" s="11">
        <f>IF(C481&gt;0.01, D481-E481, 0)</f>
        <v>0</v>
      </c>
      <c r="G481" s="12"/>
      <c r="H481" s="11">
        <f>SUM(F481,G481)</f>
        <v>0</v>
      </c>
      <c r="I481" s="11">
        <f>C481-H481</f>
        <v>0</v>
      </c>
    </row>
  </sheetData>
  <conditionalFormatting sqref="I2:I481">
    <cfRule type="cellIs" dxfId="0" priority="1" operator="lessThanOrEqual">
      <formula>0.01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Parameter</vt:lpstr>
      <vt:lpstr>Tilgungsplan</vt:lpstr>
      <vt:lpstr>Darlehensbetrag</vt:lpstr>
      <vt:lpstr>ErsteZahlungDatum</vt:lpstr>
      <vt:lpstr>Jahreszins</vt:lpstr>
      <vt:lpstr>LaufzeitJahre</vt:lpstr>
      <vt:lpstr>Rate</vt:lpstr>
      <vt:lpstr>Startdatum</vt:lpstr>
      <vt:lpstr>ZahlungenProJahr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2025-08-05T08:11:42Z</dcterms:created>
  <dcterms:modified xsi:type="dcterms:W3CDTF">2025-08-05T08:11:42Z</dcterms:modified>
</cp:coreProperties>
</file>