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forderungsaufstellung excel vorlage kostenlos\"/>
    </mc:Choice>
  </mc:AlternateContent>
  <xr:revisionPtr revIDLastSave="0" documentId="13_ncr:20001_{0B7BCFE5-9CC6-432F-9980-AE31A26BC076}" xr6:coauthVersionLast="47" xr6:coauthVersionMax="47" xr10:uidLastSave="{00000000-0000-0000-0000-000000000000}"/>
  <bookViews>
    <workbookView xWindow="2340" yWindow="2340" windowWidth="22155" windowHeight="12000" xr2:uid="{00000000-000D-0000-FFFF-FFFF00000000}"/>
  </bookViews>
  <sheets>
    <sheet name="Kunden" sheetId="1" r:id="rId1"/>
    <sheet name="Zahlungen" sheetId="2" r:id="rId2"/>
    <sheet name="Forderungen" sheetId="3" r:id="rId3"/>
    <sheet name="Parameter" sheetId="4" r:id="rId4"/>
    <sheet name="Übersicht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  <c r="B16" i="5"/>
  <c r="B15" i="5"/>
  <c r="B14" i="5"/>
  <c r="B13" i="5"/>
  <c r="B12" i="5"/>
  <c r="U13" i="3"/>
  <c r="M13" i="3"/>
  <c r="H13" i="3"/>
  <c r="I13" i="3" s="1"/>
  <c r="N13" i="3" s="1"/>
  <c r="U12" i="3"/>
  <c r="M12" i="3"/>
  <c r="H12" i="3"/>
  <c r="I12" i="3" s="1"/>
  <c r="N12" i="3" s="1"/>
  <c r="U11" i="3"/>
  <c r="M11" i="3"/>
  <c r="I11" i="3"/>
  <c r="N11" i="3" s="1"/>
  <c r="H11" i="3"/>
  <c r="U10" i="3"/>
  <c r="M10" i="3"/>
  <c r="I10" i="3"/>
  <c r="N10" i="3" s="1"/>
  <c r="H10" i="3"/>
  <c r="U9" i="3"/>
  <c r="M9" i="3"/>
  <c r="H9" i="3"/>
  <c r="I9" i="3" s="1"/>
  <c r="N9" i="3" s="1"/>
  <c r="U8" i="3"/>
  <c r="M8" i="3"/>
  <c r="H8" i="3"/>
  <c r="I8" i="3" s="1"/>
  <c r="N8" i="3" s="1"/>
  <c r="U7" i="3"/>
  <c r="M7" i="3"/>
  <c r="H7" i="3"/>
  <c r="I7" i="3" s="1"/>
  <c r="N7" i="3" s="1"/>
  <c r="U6" i="3"/>
  <c r="M6" i="3"/>
  <c r="I6" i="3"/>
  <c r="N6" i="3" s="1"/>
  <c r="H6" i="3"/>
  <c r="U5" i="3"/>
  <c r="M5" i="3"/>
  <c r="I5" i="3"/>
  <c r="N5" i="3" s="1"/>
  <c r="H5" i="3"/>
  <c r="U4" i="3"/>
  <c r="M4" i="3"/>
  <c r="H4" i="3"/>
  <c r="I4" i="3" s="1"/>
  <c r="N4" i="3" s="1"/>
  <c r="U3" i="3"/>
  <c r="M3" i="3"/>
  <c r="H3" i="3"/>
  <c r="I3" i="3" s="1"/>
  <c r="N3" i="3" s="1"/>
  <c r="U2" i="3"/>
  <c r="M2" i="3"/>
  <c r="H2" i="3"/>
  <c r="I2" i="3" s="1"/>
  <c r="N2" i="3" s="1"/>
  <c r="P4" i="3" l="1"/>
  <c r="V4" i="3" s="1"/>
  <c r="O4" i="3"/>
  <c r="O10" i="3"/>
  <c r="P10" i="3"/>
  <c r="V10" i="3" s="1"/>
  <c r="O5" i="3"/>
  <c r="P5" i="3"/>
  <c r="V5" i="3" s="1"/>
  <c r="P11" i="3"/>
  <c r="O11" i="3"/>
  <c r="P6" i="3"/>
  <c r="O6" i="3"/>
  <c r="O12" i="3"/>
  <c r="P12" i="3"/>
  <c r="O7" i="3"/>
  <c r="P7" i="3"/>
  <c r="V7" i="3" s="1"/>
  <c r="P13" i="3"/>
  <c r="O13" i="3"/>
  <c r="O2" i="3"/>
  <c r="P2" i="3"/>
  <c r="P8" i="3"/>
  <c r="V8" i="3" s="1"/>
  <c r="O8" i="3"/>
  <c r="P3" i="3"/>
  <c r="V3" i="3" s="1"/>
  <c r="O3" i="3"/>
  <c r="P9" i="3"/>
  <c r="O9" i="3"/>
  <c r="V13" i="3" l="1"/>
  <c r="V6" i="3"/>
  <c r="V11" i="3"/>
  <c r="A8" i="5"/>
  <c r="A6" i="5"/>
  <c r="A4" i="5"/>
  <c r="A2" i="5"/>
  <c r="V2" i="3"/>
  <c r="V12" i="3"/>
  <c r="V9" i="3"/>
  <c r="E7" i="5" l="1"/>
  <c r="E6" i="5"/>
  <c r="E5" i="5"/>
  <c r="E4" i="5"/>
  <c r="E3" i="5"/>
</calcChain>
</file>

<file path=xl/sharedStrings.xml><?xml version="1.0" encoding="utf-8"?>
<sst xmlns="http://schemas.openxmlformats.org/spreadsheetml/2006/main" count="167" uniqueCount="116">
  <si>
    <t>Kunden-Nr.</t>
  </si>
  <si>
    <t>Kunde</t>
  </si>
  <si>
    <t>Kontakt</t>
  </si>
  <si>
    <t>E-Mail</t>
  </si>
  <si>
    <t>USt-IdNr.</t>
  </si>
  <si>
    <t>Zahlungsziel (Tage)</t>
  </si>
  <si>
    <t>K-1001</t>
  </si>
  <si>
    <t>Alpen Bäckerei GmbH</t>
  </si>
  <si>
    <t>Sabine Koch</t>
  </si>
  <si>
    <t>s.koch@alpenbaeckerei.de</t>
  </si>
  <si>
    <t>DE123456789</t>
  </si>
  <si>
    <t>K-1002</t>
  </si>
  <si>
    <t>Nordlicht Handel AG</t>
  </si>
  <si>
    <t>Lars Petersen</t>
  </si>
  <si>
    <t>lp@nordlicht-handel.de</t>
  </si>
  <si>
    <t>DE234567890</t>
  </si>
  <si>
    <t>K-1003</t>
  </si>
  <si>
    <t>RheinWerkstatt KG</t>
  </si>
  <si>
    <t>Miriam Vogt</t>
  </si>
  <si>
    <t>m.vogt@rheinwerkstatt.de</t>
  </si>
  <si>
    <t>DE345678901</t>
  </si>
  <si>
    <t>K-1004</t>
  </si>
  <si>
    <t>IsarTech Solutions</t>
  </si>
  <si>
    <t>Jonas Bauer</t>
  </si>
  <si>
    <t>jonas.bauer@isartech.de</t>
  </si>
  <si>
    <t>DE456789012</t>
  </si>
  <si>
    <t>K-1005</t>
  </si>
  <si>
    <t>Elbe Logistics</t>
  </si>
  <si>
    <t>Anna Richter</t>
  </si>
  <si>
    <t>anna.richter@elbe-logistics.de</t>
  </si>
  <si>
    <t>DE567890123</t>
  </si>
  <si>
    <t>K-1006</t>
  </si>
  <si>
    <t>MainCity Hotels</t>
  </si>
  <si>
    <t>Katrin Weiss</t>
  </si>
  <si>
    <t>k.weiss@maincityhotels.de</t>
  </si>
  <si>
    <t>DE678901234</t>
  </si>
  <si>
    <t>Zahlungs-ID</t>
  </si>
  <si>
    <t>Rechnungsnummer</t>
  </si>
  <si>
    <t>Zahlungsdatum</t>
  </si>
  <si>
    <t>Betrag</t>
  </si>
  <si>
    <t>Zahlungsart</t>
  </si>
  <si>
    <t>Notizen</t>
  </si>
  <si>
    <t>Z-0001</t>
  </si>
  <si>
    <t>RE-24001</t>
  </si>
  <si>
    <t>Überweisung</t>
  </si>
  <si>
    <t/>
  </si>
  <si>
    <t>Z-0002</t>
  </si>
  <si>
    <t>RE-24002</t>
  </si>
  <si>
    <t>Karte</t>
  </si>
  <si>
    <t>Z-0003</t>
  </si>
  <si>
    <t>RE-24003</t>
  </si>
  <si>
    <t>Teilzahlung</t>
  </si>
  <si>
    <t>Z-0004</t>
  </si>
  <si>
    <t>Restzahlung Skonto</t>
  </si>
  <si>
    <t>Z-0005</t>
  </si>
  <si>
    <t>RE-24004</t>
  </si>
  <si>
    <t>Bar</t>
  </si>
  <si>
    <t>Z-0006</t>
  </si>
  <si>
    <t>RE-24006</t>
  </si>
  <si>
    <t>Z-0007</t>
  </si>
  <si>
    <t>RE-24007</t>
  </si>
  <si>
    <t>Z-0008</t>
  </si>
  <si>
    <t>RE-24009</t>
  </si>
  <si>
    <t>Rechnungsdatum</t>
  </si>
  <si>
    <t>Leistungsdatum</t>
  </si>
  <si>
    <t>Fällig am</t>
  </si>
  <si>
    <t>Netto</t>
  </si>
  <si>
    <t>MwSt %</t>
  </si>
  <si>
    <t>MwSt Betrag</t>
  </si>
  <si>
    <t>Brutto</t>
  </si>
  <si>
    <t>Skonto %</t>
  </si>
  <si>
    <t>Skonto bis</t>
  </si>
  <si>
    <t>Erhalten am</t>
  </si>
  <si>
    <t>Gezahlt Summe</t>
  </si>
  <si>
    <t>Restbetrag</t>
  </si>
  <si>
    <t>Tage überfällig</t>
  </si>
  <si>
    <t>Status</t>
  </si>
  <si>
    <t>Mahnstatus</t>
  </si>
  <si>
    <t>Mahndatum</t>
  </si>
  <si>
    <t>Mahnung Gebühr</t>
  </si>
  <si>
    <t>Zahlungstage</t>
  </si>
  <si>
    <t>Bucket</t>
  </si>
  <si>
    <t>Keine</t>
  </si>
  <si>
    <t>Mahnung 1</t>
  </si>
  <si>
    <t>Teilzahlung mit Skonto</t>
  </si>
  <si>
    <t>RE-24005</t>
  </si>
  <si>
    <t>Überfällig</t>
  </si>
  <si>
    <t>Mahnung 2</t>
  </si>
  <si>
    <t>Teilzahlung offen</t>
  </si>
  <si>
    <t>RE-24008</t>
  </si>
  <si>
    <t>RE-24010</t>
  </si>
  <si>
    <t>Großauftrag</t>
  </si>
  <si>
    <t>RE-24011</t>
  </si>
  <si>
    <t>RE-24012</t>
  </si>
  <si>
    <t>Fällig heute</t>
  </si>
  <si>
    <t>Parameter</t>
  </si>
  <si>
    <t>Wert</t>
  </si>
  <si>
    <t>Heute</t>
  </si>
  <si>
    <t>17.08.2025</t>
  </si>
  <si>
    <t>MwSt Werte</t>
  </si>
  <si>
    <t>0;7;19</t>
  </si>
  <si>
    <t>Keine;Mahnung 1;Mahnung 2;Inkasso</t>
  </si>
  <si>
    <t>Offen (gesamt)</t>
  </si>
  <si>
    <t>Überfällig (gesamt)</t>
  </si>
  <si>
    <t>Ø DSO (Tage)</t>
  </si>
  <si>
    <t>Anzahl offene Rechnungen</t>
  </si>
  <si>
    <t>Aging (Offene Salden)</t>
  </si>
  <si>
    <t>Summe Restbetrag</t>
  </si>
  <si>
    <t>0–0</t>
  </si>
  <si>
    <t>0–30</t>
  </si>
  <si>
    <t>31–60</t>
  </si>
  <si>
    <t>61–90</t>
  </si>
  <si>
    <t>&gt;90</t>
  </si>
  <si>
    <t>Zahlungseingänge – letzte 6 Monate</t>
  </si>
  <si>
    <t>Monat</t>
  </si>
  <si>
    <t>Summe Zahlungen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</si>
</sst>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[$€-407]\ #,##0.00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9" fontId="0" fillId="0" borderId="0" xfId="0" applyNumberForma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165" fontId="2" fillId="0" borderId="0" xfId="0" applyNumberFormat="1" applyFont="1" applyAlignment="1">
      <alignment horizontal="right"/>
    </xf>
    <xf numFmtId="0" fontId="0" fillId="0" borderId="0" xfId="0" applyAlignment="1">
      <alignment vertical="top" wrapText="1"/>
    </xf>
    <xf numFmtId="166" fontId="0" fillId="0" borderId="0" xfId="0" applyNumberFormat="1"/>
    <xf numFmtId="164" fontId="0" fillId="3" borderId="0" xfId="0" applyNumberFormat="1" applyFill="1"/>
    <xf numFmtId="165" fontId="0" fillId="3" borderId="0" xfId="0" applyNumberFormat="1" applyFill="1"/>
    <xf numFmtId="0" fontId="0" fillId="3" borderId="0" xfId="0" applyFill="1" applyAlignment="1">
      <alignment vertical="top" wrapText="1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0484E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0484E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0484E"/>
        </patternFill>
      </fill>
      <alignment horizontal="center" vertical="center" textRotation="0" wrapText="0" indent="0" justifyLastLine="0" shrinkToFit="0" readingOrder="0"/>
    </dxf>
    <dxf>
      <fill>
        <patternFill>
          <bgColor rgb="FFD4EDDA"/>
        </patternFill>
      </fill>
    </dxf>
    <dxf>
      <fill>
        <patternFill>
          <bgColor rgb="FFFFF3CD"/>
        </patternFill>
      </fill>
    </dxf>
    <dxf>
      <fill>
        <patternFill>
          <bgColor rgb="FFF8D7DA"/>
        </patternFill>
      </fill>
    </dxf>
    <dxf>
      <numFmt numFmtId="165" formatCode="[$€-407]\ #,##0.00"/>
    </dxf>
    <dxf>
      <numFmt numFmtId="165" formatCode="[$€-407]\ #,##0.00"/>
    </dxf>
    <dxf>
      <numFmt numFmtId="165" formatCode="[$€-407]\ #,##0.00"/>
    </dxf>
    <dxf>
      <numFmt numFmtId="13" formatCode="0%"/>
    </dxf>
    <dxf>
      <numFmt numFmtId="165" formatCode="[$€-407]\ #,##0.00"/>
    </dxf>
    <dxf>
      <numFmt numFmtId="165" formatCode="[$€-407]\ #,##0.00"/>
    </dxf>
    <dxf>
      <numFmt numFmtId="165" formatCode="[$€-407]\ 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Forderungen nach Aging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Aging</c:v>
          </c:tx>
          <c:invertIfNegative val="0"/>
          <c:cat>
            <c:strRef>
              <c:f>Übersicht!$D$3:$D$7</c:f>
              <c:strCache>
                <c:ptCount val="5"/>
                <c:pt idx="0">
                  <c:v>0–0</c:v>
                </c:pt>
                <c:pt idx="1">
                  <c:v>0–30</c:v>
                </c:pt>
                <c:pt idx="2">
                  <c:v>31–60</c:v>
                </c:pt>
                <c:pt idx="3">
                  <c:v>61–90</c:v>
                </c:pt>
                <c:pt idx="4">
                  <c:v>&gt;90</c:v>
                </c:pt>
              </c:strCache>
            </c:strRef>
          </c:cat>
          <c:val>
            <c:numRef>
              <c:f>Übersicht!$E$3:$E$7</c:f>
              <c:numCache>
                <c:formatCode>[$€-407]\ #,##0.00</c:formatCode>
                <c:ptCount val="5"/>
                <c:pt idx="0">
                  <c:v>1936.9</c:v>
                </c:pt>
                <c:pt idx="1">
                  <c:v>577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8-4615-9F06-9555B35BE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numFmt formatCode="[$€-407]\ #,##0.0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plotVisOnly val="1"/>
    <c:dispBlanksAs val="gap"/>
    <c:showDLblsOverMax val="0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Zahlungseingänge je Monat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Zahlungen</c:v>
          </c:tx>
          <c:marker>
            <c:symbol val="none"/>
          </c:marker>
          <c:cat>
            <c:numRef>
              <c:f>Übersicht!$A$12:$A$17</c:f>
              <c:numCache>
                <c:formatCode>dd\.mm\.yyyy</c:formatCode>
                <c:ptCount val="6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</c:numCache>
            </c:numRef>
          </c:cat>
          <c:val>
            <c:numRef>
              <c:f>Übersicht!$B$12:$B$17</c:f>
              <c:numCache>
                <c:formatCode>[$€-407]\ 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1785</c:v>
                </c:pt>
                <c:pt idx="4">
                  <c:v>1497.5</c:v>
                </c:pt>
                <c:pt idx="5">
                  <c:v>594.79999999999995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A-4497-8F35-B8FE3A218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20001"/>
        <c:axId val="50020002"/>
      </c:lineChart>
      <c:dateAx>
        <c:axId val="50020001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crossAx val="50020002"/>
        <c:crosses val="autoZero"/>
        <c:auto val="1"/>
        <c:lblOffset val="100"/>
        <c:baseTimeUnit val="months"/>
      </c:dateAx>
      <c:valAx>
        <c:axId val="50020002"/>
        <c:scaling>
          <c:orientation val="minMax"/>
        </c:scaling>
        <c:delete val="0"/>
        <c:axPos val="l"/>
        <c:majorGridlines/>
        <c:numFmt formatCode="[$€-407]\ #,##0.00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plotVisOnly val="1"/>
    <c:dispBlanksAs val="gap"/>
    <c:showDLblsOverMax val="0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257175</xdr:rowOff>
    </xdr:from>
    <xdr:to>
      <xdr:col>11</xdr:col>
      <xdr:colOff>133350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152401</xdr:colOff>
      <xdr:row>7</xdr:row>
      <xdr:rowOff>76201</xdr:rowOff>
    </xdr:from>
    <xdr:to>
      <xdr:col>5</xdr:col>
      <xdr:colOff>266700</xdr:colOff>
      <xdr:row>17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Kunden" displayName="tblKunden" ref="A1:F7" totalsRowShown="0" headerRowDxfId="2">
  <autoFilter ref="A1:F7" xr:uid="{00000000-0009-0000-0100-000001000000}"/>
  <tableColumns count="6">
    <tableColumn id="1" xr3:uid="{00000000-0010-0000-0000-000001000000}" name="Kunden-Nr."/>
    <tableColumn id="2" xr3:uid="{00000000-0010-0000-0000-000002000000}" name="Kunde"/>
    <tableColumn id="3" xr3:uid="{00000000-0010-0000-0000-000003000000}" name="Kontakt"/>
    <tableColumn id="4" xr3:uid="{00000000-0010-0000-0000-000004000000}" name="E-Mail"/>
    <tableColumn id="5" xr3:uid="{00000000-0010-0000-0000-000005000000}" name="USt-IdNr."/>
    <tableColumn id="6" xr3:uid="{00000000-0010-0000-0000-000006000000}" name="Zahlungsziel (Tage)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Zahlungen" displayName="tblZahlungen" ref="A1:F9" totalsRowShown="0" headerRowDxfId="1">
  <autoFilter ref="A1:F9" xr:uid="{00000000-0009-0000-0100-000002000000}"/>
  <tableColumns count="6">
    <tableColumn id="1" xr3:uid="{00000000-0010-0000-0100-000001000000}" name="Zahlungs-ID"/>
    <tableColumn id="2" xr3:uid="{00000000-0010-0000-0100-000002000000}" name="Rechnungsnummer"/>
    <tableColumn id="3" xr3:uid="{00000000-0010-0000-0100-000003000000}" name="Zahlungsdatum"/>
    <tableColumn id="4" xr3:uid="{00000000-0010-0000-0100-000004000000}" name="Betrag"/>
    <tableColumn id="5" xr3:uid="{00000000-0010-0000-0100-000005000000}" name="Zahlungsart"/>
    <tableColumn id="6" xr3:uid="{00000000-0010-0000-0100-000006000000}" name="Notizen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Forderungen" displayName="tblForderungen" ref="A1:V13" totalsRowShown="0" headerRowDxfId="0">
  <autoFilter ref="A1:V13" xr:uid="{00000000-0009-0000-0100-000003000000}"/>
  <tableColumns count="22">
    <tableColumn id="1" xr3:uid="{00000000-0010-0000-0200-000001000000}" name="Rechnungsnummer"/>
    <tableColumn id="2" xr3:uid="{00000000-0010-0000-0200-000002000000}" name="Kunde"/>
    <tableColumn id="3" xr3:uid="{00000000-0010-0000-0200-000003000000}" name="Rechnungsdatum"/>
    <tableColumn id="4" xr3:uid="{00000000-0010-0000-0200-000004000000}" name="Leistungsdatum"/>
    <tableColumn id="5" xr3:uid="{00000000-0010-0000-0200-000005000000}" name="Fällig am"/>
    <tableColumn id="6" xr3:uid="{00000000-0010-0000-0200-000006000000}" name="Netto" dataDxfId="12"/>
    <tableColumn id="7" xr3:uid="{00000000-0010-0000-0200-000007000000}" name="MwSt %"/>
    <tableColumn id="8" xr3:uid="{00000000-0010-0000-0200-000008000000}" name="MwSt Betrag" dataDxfId="11">
      <calculatedColumnFormula>tblForderungen[[#This Row],[Netto]]*tblForderungen[[#This Row],[MwSt %]]/100</calculatedColumnFormula>
    </tableColumn>
    <tableColumn id="9" xr3:uid="{00000000-0010-0000-0200-000009000000}" name="Brutto" dataDxfId="10">
      <calculatedColumnFormula>tblForderungen[[#This Row],[Netto]]+tblForderungen[[#This Row],[MwSt Betrag]]</calculatedColumnFormula>
    </tableColumn>
    <tableColumn id="10" xr3:uid="{00000000-0010-0000-0200-00000A000000}" name="Skonto %" dataDxfId="9"/>
    <tableColumn id="11" xr3:uid="{00000000-0010-0000-0200-00000B000000}" name="Skonto bis"/>
    <tableColumn id="12" xr3:uid="{00000000-0010-0000-0200-00000C000000}" name="Erhalten am"/>
    <tableColumn id="13" xr3:uid="{00000000-0010-0000-0200-00000D000000}" name="Gezahlt Summe" dataDxfId="8">
      <calculatedColumnFormula>SUMIFS(tblZahlungen[Betrag],tblZahlungen[Rechnungsnummer],tblForderungen[[#This Row],[Rechnungsnummer]])</calculatedColumnFormula>
    </tableColumn>
    <tableColumn id="14" xr3:uid="{00000000-0010-0000-0200-00000E000000}" name="Restbetrag" dataDxfId="7">
      <calculatedColumnFormula>tblForderungen[[#This Row],[Brutto]]-tblForderungen[[#This Row],[Gezahlt Summe]]</calculatedColumnFormula>
    </tableColumn>
    <tableColumn id="15" xr3:uid="{00000000-0010-0000-0200-00000F000000}" name="Tage überfällig">
      <calculatedColumnFormula>IF(tblForderungen[[#This Row],[Restbetrag]]&gt;0, IF(TODAY()&gt;tblForderungen[[#This Row],[Fällig am]], TODAY()-tblForderungen[[#This Row],[Fällig am]], 0), 0)</calculatedColumnFormula>
    </tableColumn>
    <tableColumn id="16" xr3:uid="{00000000-0010-0000-0200-000010000000}" name="Status">
      <calculatedColumnFormula>IF(tblForderungen[[#This Row],[Restbetrag]]&lt;=0,"Bezahlt", IF(TODAY()&gt;tblForderungen[[#This Row],[Fällig am]],"Überfällig","Offen"))</calculatedColumnFormula>
    </tableColumn>
    <tableColumn id="17" xr3:uid="{00000000-0010-0000-0200-000011000000}" name="Mahnstatus"/>
    <tableColumn id="18" xr3:uid="{00000000-0010-0000-0200-000012000000}" name="Mahndatum"/>
    <tableColumn id="19" xr3:uid="{00000000-0010-0000-0200-000013000000}" name="Mahnung Gebühr" dataDxfId="6"/>
    <tableColumn id="20" xr3:uid="{00000000-0010-0000-0200-000014000000}" name="Notizen"/>
    <tableColumn id="21" xr3:uid="{00000000-0010-0000-0200-000015000000}" name="Zahlungstage">
      <calculatedColumnFormula>IF(tblForderungen[[#This Row],[Erhalten am]]="", TODAY()-tblForderungen[[#This Row],[Rechnungsdatum]], tblForderungen[[#This Row],[Erhalten am]]-tblForderungen[[#This Row],[Rechnungsdatum]])</calculatedColumnFormula>
    </tableColumn>
    <tableColumn id="22" xr3:uid="{00000000-0010-0000-0200-000016000000}" name="Bucket">
      <calculatedColumnFormula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pane ySplit="1" topLeftCell="A2" activePane="bottomLeft" state="frozen"/>
      <selection pane="bottomLeft" sqref="A1:XFD1048576"/>
    </sheetView>
  </sheetViews>
  <sheetFormatPr baseColWidth="10" defaultColWidth="9.140625" defaultRowHeight="15" x14ac:dyDescent="0.25"/>
  <cols>
    <col min="1" max="1" width="15.85546875" bestFit="1" customWidth="1"/>
    <col min="2" max="2" width="20.28515625" bestFit="1" customWidth="1"/>
    <col min="3" max="3" width="12.85546875" bestFit="1" customWidth="1"/>
    <col min="4" max="4" width="28.7109375" customWidth="1"/>
    <col min="5" max="5" width="13.85546875" bestFit="1" customWidth="1"/>
    <col min="6" max="6" width="22.7109375" bestFit="1" customWidth="1"/>
  </cols>
  <sheetData>
    <row r="1" spans="1:6" ht="30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s="1">
        <v>14</v>
      </c>
    </row>
    <row r="3" spans="1:6" x14ac:dyDescent="0.25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>
        <v>30</v>
      </c>
    </row>
    <row r="4" spans="1:6" x14ac:dyDescent="0.25">
      <c r="A4" t="s">
        <v>16</v>
      </c>
      <c r="B4" t="s">
        <v>17</v>
      </c>
      <c r="C4" t="s">
        <v>18</v>
      </c>
      <c r="D4" t="s">
        <v>19</v>
      </c>
      <c r="E4" t="s">
        <v>20</v>
      </c>
      <c r="F4" s="1">
        <v>21</v>
      </c>
    </row>
    <row r="5" spans="1:6" x14ac:dyDescent="0.25">
      <c r="A5" t="s">
        <v>21</v>
      </c>
      <c r="B5" t="s">
        <v>22</v>
      </c>
      <c r="C5" t="s">
        <v>23</v>
      </c>
      <c r="D5" t="s">
        <v>24</v>
      </c>
      <c r="E5" t="s">
        <v>25</v>
      </c>
      <c r="F5" s="1">
        <v>30</v>
      </c>
    </row>
    <row r="6" spans="1:6" x14ac:dyDescent="0.25">
      <c r="A6" t="s">
        <v>26</v>
      </c>
      <c r="B6" t="s">
        <v>27</v>
      </c>
      <c r="C6" t="s">
        <v>28</v>
      </c>
      <c r="D6" t="s">
        <v>29</v>
      </c>
      <c r="E6" t="s">
        <v>30</v>
      </c>
      <c r="F6" s="1">
        <v>14</v>
      </c>
    </row>
    <row r="7" spans="1:6" x14ac:dyDescent="0.25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1">
        <v>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pane ySplit="1" topLeftCell="A2" activePane="bottomLeft" state="frozen"/>
      <selection pane="bottomLeft" activeCell="A5" activeCellId="1" sqref="A3:F3 A5:F5"/>
    </sheetView>
  </sheetViews>
  <sheetFormatPr baseColWidth="10" defaultColWidth="9.140625" defaultRowHeight="15" x14ac:dyDescent="0.25"/>
  <cols>
    <col min="1" max="1" width="16" bestFit="1" customWidth="1"/>
    <col min="2" max="2" width="22.85546875" bestFit="1" customWidth="1"/>
    <col min="3" max="3" width="19.140625" bestFit="1" customWidth="1"/>
    <col min="4" max="4" width="11.28515625" bestFit="1" customWidth="1"/>
    <col min="5" max="5" width="15.85546875" bestFit="1" customWidth="1"/>
    <col min="6" max="6" width="18.42578125" bestFit="1" customWidth="1"/>
  </cols>
  <sheetData>
    <row r="1" spans="1:6" ht="30" customHeight="1" x14ac:dyDescent="0.25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</row>
    <row r="2" spans="1:6" x14ac:dyDescent="0.25">
      <c r="A2" t="s">
        <v>42</v>
      </c>
      <c r="B2" t="s">
        <v>43</v>
      </c>
      <c r="C2" s="2">
        <v>45813</v>
      </c>
      <c r="D2" s="3">
        <v>595</v>
      </c>
      <c r="E2" t="s">
        <v>44</v>
      </c>
      <c r="F2" t="s">
        <v>45</v>
      </c>
    </row>
    <row r="3" spans="1:6" x14ac:dyDescent="0.25">
      <c r="A3" t="s">
        <v>46</v>
      </c>
      <c r="B3" t="s">
        <v>47</v>
      </c>
      <c r="C3" s="2">
        <v>45826</v>
      </c>
      <c r="D3" s="3">
        <v>1190</v>
      </c>
      <c r="E3" t="s">
        <v>48</v>
      </c>
      <c r="F3" t="s">
        <v>45</v>
      </c>
    </row>
    <row r="4" spans="1:6" x14ac:dyDescent="0.25">
      <c r="A4" t="s">
        <v>49</v>
      </c>
      <c r="B4" t="s">
        <v>50</v>
      </c>
      <c r="C4" s="2">
        <v>45839</v>
      </c>
      <c r="D4" s="3">
        <v>500</v>
      </c>
      <c r="E4" t="s">
        <v>44</v>
      </c>
      <c r="F4" t="s">
        <v>51</v>
      </c>
    </row>
    <row r="5" spans="1:6" x14ac:dyDescent="0.25">
      <c r="A5" t="s">
        <v>52</v>
      </c>
      <c r="B5" t="s">
        <v>50</v>
      </c>
      <c r="C5" s="2">
        <v>45858</v>
      </c>
      <c r="D5" s="3">
        <v>297.5</v>
      </c>
      <c r="E5" t="s">
        <v>44</v>
      </c>
      <c r="F5" t="s">
        <v>53</v>
      </c>
    </row>
    <row r="6" spans="1:6" x14ac:dyDescent="0.25">
      <c r="A6" t="s">
        <v>54</v>
      </c>
      <c r="B6" t="s">
        <v>55</v>
      </c>
      <c r="C6" s="2">
        <v>45879</v>
      </c>
      <c r="D6" s="3">
        <v>214</v>
      </c>
      <c r="E6" t="s">
        <v>56</v>
      </c>
      <c r="F6" t="s">
        <v>45</v>
      </c>
    </row>
    <row r="7" spans="1:6" x14ac:dyDescent="0.25">
      <c r="A7" t="s">
        <v>57</v>
      </c>
      <c r="B7" t="s">
        <v>58</v>
      </c>
      <c r="C7" s="2">
        <v>45866</v>
      </c>
      <c r="D7" s="3">
        <v>700</v>
      </c>
      <c r="E7" t="s">
        <v>44</v>
      </c>
      <c r="F7" t="s">
        <v>51</v>
      </c>
    </row>
    <row r="8" spans="1:6" x14ac:dyDescent="0.25">
      <c r="A8" t="s">
        <v>59</v>
      </c>
      <c r="B8" t="s">
        <v>60</v>
      </c>
      <c r="C8" s="2">
        <v>45881</v>
      </c>
      <c r="D8" s="3">
        <v>238</v>
      </c>
      <c r="E8" t="s">
        <v>48</v>
      </c>
      <c r="F8" t="s">
        <v>45</v>
      </c>
    </row>
    <row r="9" spans="1:6" x14ac:dyDescent="0.25">
      <c r="A9" t="s">
        <v>61</v>
      </c>
      <c r="B9" t="s">
        <v>62</v>
      </c>
      <c r="C9" s="2">
        <v>45870</v>
      </c>
      <c r="D9" s="3">
        <v>142.80000000000001</v>
      </c>
      <c r="E9" t="s">
        <v>44</v>
      </c>
      <c r="F9" t="s">
        <v>45</v>
      </c>
    </row>
  </sheetData>
  <dataValidations count="1">
    <dataValidation type="decimal" operator="greaterThan" allowBlank="1" showInputMessage="1" showErrorMessage="1" sqref="D2:D9" xr:uid="{00000000-0002-0000-0100-000000000000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3"/>
  <sheetViews>
    <sheetView workbookViewId="0">
      <pane ySplit="1" topLeftCell="A2" activePane="bottomLeft" state="frozen"/>
      <selection pane="bottomLeft" sqref="A1:XFD1048576"/>
    </sheetView>
  </sheetViews>
  <sheetFormatPr baseColWidth="10" defaultColWidth="9.140625" defaultRowHeight="15" x14ac:dyDescent="0.25"/>
  <cols>
    <col min="1" max="1" width="22.85546875" bestFit="1" customWidth="1"/>
    <col min="2" max="2" width="20.28515625" bestFit="1" customWidth="1"/>
    <col min="3" max="3" width="21" bestFit="1" customWidth="1"/>
    <col min="4" max="4" width="19.5703125" bestFit="1" customWidth="1"/>
    <col min="5" max="5" width="13.42578125" bestFit="1" customWidth="1"/>
    <col min="6" max="6" width="10.7109375" bestFit="1" customWidth="1"/>
    <col min="7" max="7" width="12.7109375" bestFit="1" customWidth="1"/>
    <col min="8" max="8" width="16.85546875" bestFit="1" customWidth="1"/>
    <col min="9" max="9" width="11.140625" bestFit="1" customWidth="1"/>
    <col min="10" max="10" width="13.7109375" bestFit="1" customWidth="1"/>
    <col min="11" max="11" width="14.7109375" bestFit="1" customWidth="1"/>
    <col min="12" max="12" width="16.140625" bestFit="1" customWidth="1"/>
    <col min="13" max="13" width="19.5703125" bestFit="1" customWidth="1"/>
    <col min="14" max="14" width="15.140625" bestFit="1" customWidth="1"/>
    <col min="15" max="15" width="18.7109375" bestFit="1" customWidth="1"/>
    <col min="16" max="16" width="11" bestFit="1" customWidth="1"/>
    <col min="17" max="17" width="16" bestFit="1" customWidth="1"/>
    <col min="18" max="18" width="16.42578125" bestFit="1" customWidth="1"/>
    <col min="19" max="19" width="21.28515625" bestFit="1" customWidth="1"/>
    <col min="20" max="20" width="21.42578125" bestFit="1" customWidth="1"/>
    <col min="21" max="21" width="17.28515625" bestFit="1" customWidth="1"/>
    <col min="22" max="22" width="11.5703125" bestFit="1" customWidth="1"/>
  </cols>
  <sheetData>
    <row r="1" spans="1:22" ht="30" customHeight="1" x14ac:dyDescent="0.25">
      <c r="A1" s="5" t="s">
        <v>37</v>
      </c>
      <c r="B1" s="5" t="s">
        <v>1</v>
      </c>
      <c r="C1" s="5" t="s">
        <v>63</v>
      </c>
      <c r="D1" s="5" t="s">
        <v>64</v>
      </c>
      <c r="E1" s="5" t="s">
        <v>65</v>
      </c>
      <c r="F1" s="5" t="s">
        <v>66</v>
      </c>
      <c r="G1" s="5" t="s">
        <v>67</v>
      </c>
      <c r="H1" s="5" t="s">
        <v>68</v>
      </c>
      <c r="I1" s="5" t="s">
        <v>69</v>
      </c>
      <c r="J1" s="5" t="s">
        <v>70</v>
      </c>
      <c r="K1" s="5" t="s">
        <v>71</v>
      </c>
      <c r="L1" s="5" t="s">
        <v>72</v>
      </c>
      <c r="M1" s="5" t="s">
        <v>73</v>
      </c>
      <c r="N1" s="5" t="s">
        <v>74</v>
      </c>
      <c r="O1" s="5" t="s">
        <v>75</v>
      </c>
      <c r="P1" s="5" t="s">
        <v>76</v>
      </c>
      <c r="Q1" s="5" t="s">
        <v>77</v>
      </c>
      <c r="R1" s="5" t="s">
        <v>78</v>
      </c>
      <c r="S1" s="5" t="s">
        <v>79</v>
      </c>
      <c r="T1" s="5" t="s">
        <v>41</v>
      </c>
      <c r="U1" s="5" t="s">
        <v>80</v>
      </c>
      <c r="V1" s="5" t="s">
        <v>81</v>
      </c>
    </row>
    <row r="2" spans="1:22" x14ac:dyDescent="0.25">
      <c r="A2" t="s">
        <v>43</v>
      </c>
      <c r="B2" t="s">
        <v>7</v>
      </c>
      <c r="C2" s="2">
        <v>45802</v>
      </c>
      <c r="D2" s="2">
        <v>45802</v>
      </c>
      <c r="E2" s="2">
        <v>45816</v>
      </c>
      <c r="F2" s="3">
        <v>500</v>
      </c>
      <c r="G2">
        <v>19</v>
      </c>
      <c r="H2" s="3">
        <f>tblForderungen[[#This Row],[Netto]]*tblForderungen[[#This Row],[MwSt %]]/100</f>
        <v>95</v>
      </c>
      <c r="I2" s="3">
        <f>tblForderungen[[#This Row],[Netto]]+tblForderungen[[#This Row],[MwSt Betrag]]</f>
        <v>595</v>
      </c>
      <c r="J2" s="4">
        <v>0</v>
      </c>
      <c r="K2" s="2"/>
      <c r="L2" s="2">
        <v>45813</v>
      </c>
      <c r="M2" s="3">
        <f>SUMIFS(tblZahlungen[Betrag],tblZahlungen[Rechnungsnummer],tblForderungen[[#This Row],[Rechnungsnummer]])</f>
        <v>595</v>
      </c>
      <c r="N2" s="3">
        <f>tblForderungen[[#This Row],[Brutto]]-tblForderungen[[#This Row],[Gezahlt Summe]]</f>
        <v>0</v>
      </c>
      <c r="O2">
        <f ca="1">IF(tblForderungen[[#This Row],[Restbetrag]]&gt;0, IF(TODAY()&gt;tblForderungen[[#This Row],[Fällig am]], TODAY()-tblForderungen[[#This Row],[Fällig am]], 0), 0)</f>
        <v>0</v>
      </c>
      <c r="P2" t="str">
        <f ca="1">IF(tblForderungen[[#This Row],[Restbetrag]]&lt;=0,"Bezahlt", IF(TODAY()&gt;tblForderungen[[#This Row],[Fällig am]],"Überfällig","Offen"))</f>
        <v>Bezahlt</v>
      </c>
      <c r="Q2" t="s">
        <v>82</v>
      </c>
      <c r="R2" s="2"/>
      <c r="S2" s="3">
        <v>0</v>
      </c>
      <c r="T2" t="s">
        <v>45</v>
      </c>
      <c r="U2">
        <f ca="1">IF(tblForderungen[[#This Row],[Erhalten am]]="", TODAY()-tblForderungen[[#This Row],[Rechnungsdatum]], tblForderungen[[#This Row],[Erhalten am]]-tblForderungen[[#This Row],[Rechnungsdatum]])</f>
        <v>11</v>
      </c>
      <c r="V2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Bezahlt</v>
      </c>
    </row>
    <row r="3" spans="1:22" x14ac:dyDescent="0.25">
      <c r="A3" t="s">
        <v>47</v>
      </c>
      <c r="B3" t="s">
        <v>12</v>
      </c>
      <c r="C3" s="2">
        <v>45809</v>
      </c>
      <c r="D3" s="2">
        <v>45809</v>
      </c>
      <c r="E3" s="2">
        <v>45839</v>
      </c>
      <c r="F3" s="3">
        <v>1000</v>
      </c>
      <c r="G3">
        <v>19</v>
      </c>
      <c r="H3" s="3">
        <f>tblForderungen[[#This Row],[Netto]]*tblForderungen[[#This Row],[MwSt %]]/100</f>
        <v>190</v>
      </c>
      <c r="I3" s="3">
        <f>tblForderungen[[#This Row],[Netto]]+tblForderungen[[#This Row],[MwSt Betrag]]</f>
        <v>1190</v>
      </c>
      <c r="J3" s="4">
        <v>0</v>
      </c>
      <c r="K3" s="2"/>
      <c r="L3" s="2">
        <v>45826</v>
      </c>
      <c r="M3" s="3">
        <f>SUMIFS(tblZahlungen[Betrag],tblZahlungen[Rechnungsnummer],tblForderungen[[#This Row],[Rechnungsnummer]])</f>
        <v>1190</v>
      </c>
      <c r="N3" s="3">
        <f>tblForderungen[[#This Row],[Brutto]]-tblForderungen[[#This Row],[Gezahlt Summe]]</f>
        <v>0</v>
      </c>
      <c r="O3">
        <f ca="1">IF(tblForderungen[[#This Row],[Restbetrag]]&gt;0, IF(TODAY()&gt;tblForderungen[[#This Row],[Fällig am]], TODAY()-tblForderungen[[#This Row],[Fällig am]], 0), 0)</f>
        <v>0</v>
      </c>
      <c r="P3" t="str">
        <f ca="1">IF(tblForderungen[[#This Row],[Restbetrag]]&lt;=0,"Bezahlt", IF(TODAY()&gt;tblForderungen[[#This Row],[Fällig am]],"Überfällig","Offen"))</f>
        <v>Bezahlt</v>
      </c>
      <c r="Q3" t="s">
        <v>82</v>
      </c>
      <c r="R3" s="2"/>
      <c r="S3" s="3">
        <v>0</v>
      </c>
      <c r="T3" t="s">
        <v>45</v>
      </c>
      <c r="U3">
        <f ca="1">IF(tblForderungen[[#This Row],[Erhalten am]]="", TODAY()-tblForderungen[[#This Row],[Rechnungsdatum]], tblForderungen[[#This Row],[Erhalten am]]-tblForderungen[[#This Row],[Rechnungsdatum]])</f>
        <v>17</v>
      </c>
      <c r="V3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Bezahlt</v>
      </c>
    </row>
    <row r="4" spans="1:22" x14ac:dyDescent="0.25">
      <c r="A4" t="s">
        <v>50</v>
      </c>
      <c r="B4" t="s">
        <v>17</v>
      </c>
      <c r="C4" s="2">
        <v>45823</v>
      </c>
      <c r="D4" s="2">
        <v>45823</v>
      </c>
      <c r="E4" s="2">
        <v>45853</v>
      </c>
      <c r="F4" s="3">
        <v>670</v>
      </c>
      <c r="G4">
        <v>7</v>
      </c>
      <c r="H4" s="3">
        <f>tblForderungen[[#This Row],[Netto]]*tblForderungen[[#This Row],[MwSt %]]/100</f>
        <v>46.9</v>
      </c>
      <c r="I4" s="3">
        <f>tblForderungen[[#This Row],[Netto]]+tblForderungen[[#This Row],[MwSt Betrag]]</f>
        <v>716.9</v>
      </c>
      <c r="J4" s="4">
        <v>0.02</v>
      </c>
      <c r="K4" s="2">
        <v>45837</v>
      </c>
      <c r="L4" s="2">
        <v>45858</v>
      </c>
      <c r="M4" s="3">
        <f>SUMIFS(tblZahlungen[Betrag],tblZahlungen[Rechnungsnummer],tblForderungen[[#This Row],[Rechnungsnummer]])</f>
        <v>797.5</v>
      </c>
      <c r="N4" s="3">
        <f>tblForderungen[[#This Row],[Brutto]]-tblForderungen[[#This Row],[Gezahlt Summe]]</f>
        <v>-80.600000000000023</v>
      </c>
      <c r="O4">
        <f ca="1">IF(tblForderungen[[#This Row],[Restbetrag]]&gt;0, IF(TODAY()&gt;tblForderungen[[#This Row],[Fällig am]], TODAY()-tblForderungen[[#This Row],[Fällig am]], 0), 0)</f>
        <v>0</v>
      </c>
      <c r="P4" t="str">
        <f ca="1">IF(tblForderungen[[#This Row],[Restbetrag]]&lt;=0,"Bezahlt", IF(TODAY()&gt;tblForderungen[[#This Row],[Fällig am]],"Überfällig","Offen"))</f>
        <v>Bezahlt</v>
      </c>
      <c r="Q4" t="s">
        <v>83</v>
      </c>
      <c r="R4" s="2">
        <v>45848</v>
      </c>
      <c r="S4" s="3">
        <v>5</v>
      </c>
      <c r="T4" t="s">
        <v>84</v>
      </c>
      <c r="U4">
        <f ca="1">IF(tblForderungen[[#This Row],[Erhalten am]]="", TODAY()-tblForderungen[[#This Row],[Rechnungsdatum]], tblForderungen[[#This Row],[Erhalten am]]-tblForderungen[[#This Row],[Rechnungsdatum]])</f>
        <v>35</v>
      </c>
      <c r="V4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Bezahlt</v>
      </c>
    </row>
    <row r="5" spans="1:22" x14ac:dyDescent="0.25">
      <c r="A5" t="s">
        <v>55</v>
      </c>
      <c r="B5" t="s">
        <v>22</v>
      </c>
      <c r="C5" s="2">
        <v>45839</v>
      </c>
      <c r="D5" s="2">
        <v>45839</v>
      </c>
      <c r="E5" s="2">
        <v>45869</v>
      </c>
      <c r="F5" s="3">
        <v>200</v>
      </c>
      <c r="G5">
        <v>7</v>
      </c>
      <c r="H5" s="3">
        <f>tblForderungen[[#This Row],[Netto]]*tblForderungen[[#This Row],[MwSt %]]/100</f>
        <v>14</v>
      </c>
      <c r="I5" s="3">
        <f>tblForderungen[[#This Row],[Netto]]+tblForderungen[[#This Row],[MwSt Betrag]]</f>
        <v>214</v>
      </c>
      <c r="J5" s="4">
        <v>0</v>
      </c>
      <c r="K5" s="2"/>
      <c r="L5" s="2">
        <v>45879</v>
      </c>
      <c r="M5" s="3">
        <f>SUMIFS(tblZahlungen[Betrag],tblZahlungen[Rechnungsnummer],tblForderungen[[#This Row],[Rechnungsnummer]])</f>
        <v>214</v>
      </c>
      <c r="N5" s="3">
        <f>tblForderungen[[#This Row],[Brutto]]-tblForderungen[[#This Row],[Gezahlt Summe]]</f>
        <v>0</v>
      </c>
      <c r="O5">
        <f ca="1">IF(tblForderungen[[#This Row],[Restbetrag]]&gt;0, IF(TODAY()&gt;tblForderungen[[#This Row],[Fällig am]], TODAY()-tblForderungen[[#This Row],[Fällig am]], 0), 0)</f>
        <v>0</v>
      </c>
      <c r="P5" t="str">
        <f ca="1">IF(tblForderungen[[#This Row],[Restbetrag]]&lt;=0,"Bezahlt", IF(TODAY()&gt;tblForderungen[[#This Row],[Fällig am]],"Überfällig","Offen"))</f>
        <v>Bezahlt</v>
      </c>
      <c r="Q5" t="s">
        <v>82</v>
      </c>
      <c r="R5" s="2"/>
      <c r="S5" s="3">
        <v>0</v>
      </c>
      <c r="T5" t="s">
        <v>45</v>
      </c>
      <c r="U5">
        <f ca="1">IF(tblForderungen[[#This Row],[Erhalten am]]="", TODAY()-tblForderungen[[#This Row],[Rechnungsdatum]], tblForderungen[[#This Row],[Erhalten am]]-tblForderungen[[#This Row],[Rechnungsdatum]])</f>
        <v>40</v>
      </c>
      <c r="V5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Bezahlt</v>
      </c>
    </row>
    <row r="6" spans="1:22" x14ac:dyDescent="0.25">
      <c r="A6" t="s">
        <v>85</v>
      </c>
      <c r="B6" t="s">
        <v>27</v>
      </c>
      <c r="C6" s="2">
        <v>45848</v>
      </c>
      <c r="D6" s="2">
        <v>45848</v>
      </c>
      <c r="E6" s="2">
        <v>45862</v>
      </c>
      <c r="F6" s="3">
        <v>350</v>
      </c>
      <c r="G6">
        <v>19</v>
      </c>
      <c r="H6" s="3">
        <f>tblForderungen[[#This Row],[Netto]]*tblForderungen[[#This Row],[MwSt %]]/100</f>
        <v>66.5</v>
      </c>
      <c r="I6" s="3">
        <f>tblForderungen[[#This Row],[Netto]]+tblForderungen[[#This Row],[MwSt Betrag]]</f>
        <v>416.5</v>
      </c>
      <c r="J6" s="4">
        <v>0</v>
      </c>
      <c r="K6" s="2"/>
      <c r="L6" s="2"/>
      <c r="M6" s="3">
        <f>SUMIFS(tblZahlungen[Betrag],tblZahlungen[Rechnungsnummer],tblForderungen[[#This Row],[Rechnungsnummer]])</f>
        <v>0</v>
      </c>
      <c r="N6" s="3">
        <f>tblForderungen[[#This Row],[Brutto]]-tblForderungen[[#This Row],[Gezahlt Summe]]</f>
        <v>416.5</v>
      </c>
      <c r="O6">
        <f ca="1">IF(tblForderungen[[#This Row],[Restbetrag]]&gt;0, IF(TODAY()&gt;tblForderungen[[#This Row],[Fällig am]], TODAY()-tblForderungen[[#This Row],[Fällig am]], 0), 0)</f>
        <v>24</v>
      </c>
      <c r="P6" t="str">
        <f ca="1">IF(tblForderungen[[#This Row],[Restbetrag]]&lt;=0,"Bezahlt", IF(TODAY()&gt;tblForderungen[[#This Row],[Fällig am]],"Überfällig","Offen"))</f>
        <v>Überfällig</v>
      </c>
      <c r="Q6" t="s">
        <v>83</v>
      </c>
      <c r="R6" s="2">
        <v>45870</v>
      </c>
      <c r="S6" s="3">
        <v>2.5</v>
      </c>
      <c r="T6" t="s">
        <v>86</v>
      </c>
      <c r="U6">
        <f ca="1">IF(tblForderungen[[#This Row],[Erhalten am]]="", TODAY()-tblForderungen[[#This Row],[Rechnungsdatum]], tblForderungen[[#This Row],[Erhalten am]]-tblForderungen[[#This Row],[Rechnungsdatum]])</f>
        <v>38</v>
      </c>
      <c r="V6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0–30</v>
      </c>
    </row>
    <row r="7" spans="1:22" x14ac:dyDescent="0.25">
      <c r="A7" t="s">
        <v>58</v>
      </c>
      <c r="B7" t="s">
        <v>32</v>
      </c>
      <c r="C7" s="2">
        <v>45850</v>
      </c>
      <c r="D7" s="2">
        <v>45850</v>
      </c>
      <c r="E7" s="2">
        <v>45857</v>
      </c>
      <c r="F7" s="3">
        <v>700</v>
      </c>
      <c r="G7">
        <v>0</v>
      </c>
      <c r="H7" s="3">
        <f>tblForderungen[[#This Row],[Netto]]*tblForderungen[[#This Row],[MwSt %]]/100</f>
        <v>0</v>
      </c>
      <c r="I7" s="3">
        <f>tblForderungen[[#This Row],[Netto]]+tblForderungen[[#This Row],[MwSt Betrag]]</f>
        <v>700</v>
      </c>
      <c r="J7" s="4">
        <v>0</v>
      </c>
      <c r="K7" s="2"/>
      <c r="L7" s="2"/>
      <c r="M7" s="3">
        <f>SUMIFS(tblZahlungen[Betrag],tblZahlungen[Rechnungsnummer],tblForderungen[[#This Row],[Rechnungsnummer]])</f>
        <v>700</v>
      </c>
      <c r="N7" s="3">
        <f>tblForderungen[[#This Row],[Brutto]]-tblForderungen[[#This Row],[Gezahlt Summe]]</f>
        <v>0</v>
      </c>
      <c r="O7">
        <f ca="1">IF(tblForderungen[[#This Row],[Restbetrag]]&gt;0, IF(TODAY()&gt;tblForderungen[[#This Row],[Fällig am]], TODAY()-tblForderungen[[#This Row],[Fällig am]], 0), 0)</f>
        <v>0</v>
      </c>
      <c r="P7" t="str">
        <f ca="1">IF(tblForderungen[[#This Row],[Restbetrag]]&lt;=0,"Bezahlt", IF(TODAY()&gt;tblForderungen[[#This Row],[Fällig am]],"Überfällig","Offen"))</f>
        <v>Bezahlt</v>
      </c>
      <c r="Q7" t="s">
        <v>87</v>
      </c>
      <c r="R7" s="2">
        <v>45874</v>
      </c>
      <c r="S7" s="3">
        <v>7.5</v>
      </c>
      <c r="T7" t="s">
        <v>88</v>
      </c>
      <c r="U7">
        <f ca="1">IF(tblForderungen[[#This Row],[Erhalten am]]="", TODAY()-tblForderungen[[#This Row],[Rechnungsdatum]], tblForderungen[[#This Row],[Erhalten am]]-tblForderungen[[#This Row],[Rechnungsdatum]])</f>
        <v>36</v>
      </c>
      <c r="V7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Bezahlt</v>
      </c>
    </row>
    <row r="8" spans="1:22" x14ac:dyDescent="0.25">
      <c r="A8" t="s">
        <v>60</v>
      </c>
      <c r="B8" t="s">
        <v>22</v>
      </c>
      <c r="C8" s="2">
        <v>45858</v>
      </c>
      <c r="D8" s="2">
        <v>45858</v>
      </c>
      <c r="E8" s="2">
        <v>45888</v>
      </c>
      <c r="F8" s="3">
        <v>200</v>
      </c>
      <c r="G8">
        <v>19</v>
      </c>
      <c r="H8" s="3">
        <f>tblForderungen[[#This Row],[Netto]]*tblForderungen[[#This Row],[MwSt %]]/100</f>
        <v>38</v>
      </c>
      <c r="I8" s="3">
        <f>tblForderungen[[#This Row],[Netto]]+tblForderungen[[#This Row],[MwSt Betrag]]</f>
        <v>238</v>
      </c>
      <c r="J8" s="4">
        <v>0</v>
      </c>
      <c r="K8" s="2"/>
      <c r="L8" s="2">
        <v>45881</v>
      </c>
      <c r="M8" s="3">
        <f>SUMIFS(tblZahlungen[Betrag],tblZahlungen[Rechnungsnummer],tblForderungen[[#This Row],[Rechnungsnummer]])</f>
        <v>238</v>
      </c>
      <c r="N8" s="3">
        <f>tblForderungen[[#This Row],[Brutto]]-tblForderungen[[#This Row],[Gezahlt Summe]]</f>
        <v>0</v>
      </c>
      <c r="O8">
        <f ca="1">IF(tblForderungen[[#This Row],[Restbetrag]]&gt;0, IF(TODAY()&gt;tblForderungen[[#This Row],[Fällig am]], TODAY()-tblForderungen[[#This Row],[Fällig am]], 0), 0)</f>
        <v>0</v>
      </c>
      <c r="P8" t="str">
        <f ca="1">IF(tblForderungen[[#This Row],[Restbetrag]]&lt;=0,"Bezahlt", IF(TODAY()&gt;tblForderungen[[#This Row],[Fällig am]],"Überfällig","Offen"))</f>
        <v>Bezahlt</v>
      </c>
      <c r="Q8" t="s">
        <v>82</v>
      </c>
      <c r="R8" s="2"/>
      <c r="S8" s="3">
        <v>0</v>
      </c>
      <c r="T8" t="s">
        <v>45</v>
      </c>
      <c r="U8">
        <f ca="1">IF(tblForderungen[[#This Row],[Erhalten am]]="", TODAY()-tblForderungen[[#This Row],[Rechnungsdatum]], tblForderungen[[#This Row],[Erhalten am]]-tblForderungen[[#This Row],[Rechnungsdatum]])</f>
        <v>23</v>
      </c>
      <c r="V8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Bezahlt</v>
      </c>
    </row>
    <row r="9" spans="1:22" x14ac:dyDescent="0.25">
      <c r="A9" t="s">
        <v>89</v>
      </c>
      <c r="B9" t="s">
        <v>7</v>
      </c>
      <c r="C9" s="2">
        <v>45863</v>
      </c>
      <c r="D9" s="2">
        <v>45863</v>
      </c>
      <c r="E9" s="2">
        <v>45877</v>
      </c>
      <c r="F9" s="3">
        <v>150</v>
      </c>
      <c r="G9">
        <v>7</v>
      </c>
      <c r="H9" s="3">
        <f>tblForderungen[[#This Row],[Netto]]*tblForderungen[[#This Row],[MwSt %]]/100</f>
        <v>10.5</v>
      </c>
      <c r="I9" s="3">
        <f>tblForderungen[[#This Row],[Netto]]+tblForderungen[[#This Row],[MwSt Betrag]]</f>
        <v>160.5</v>
      </c>
      <c r="J9" s="4">
        <v>0</v>
      </c>
      <c r="K9" s="2"/>
      <c r="L9" s="2"/>
      <c r="M9" s="3">
        <f>SUMIFS(tblZahlungen[Betrag],tblZahlungen[Rechnungsnummer],tblForderungen[[#This Row],[Rechnungsnummer]])</f>
        <v>0</v>
      </c>
      <c r="N9" s="3">
        <f>tblForderungen[[#This Row],[Brutto]]-tblForderungen[[#This Row],[Gezahlt Summe]]</f>
        <v>160.5</v>
      </c>
      <c r="O9">
        <f ca="1">IF(tblForderungen[[#This Row],[Restbetrag]]&gt;0, IF(TODAY()&gt;tblForderungen[[#This Row],[Fällig am]], TODAY()-tblForderungen[[#This Row],[Fällig am]], 0), 0)</f>
        <v>9</v>
      </c>
      <c r="P9" t="str">
        <f ca="1">IF(tblForderungen[[#This Row],[Restbetrag]]&lt;=0,"Bezahlt", IF(TODAY()&gt;tblForderungen[[#This Row],[Fällig am]],"Überfällig","Offen"))</f>
        <v>Überfällig</v>
      </c>
      <c r="Q9" t="s">
        <v>82</v>
      </c>
      <c r="R9" s="2"/>
      <c r="S9" s="3">
        <v>0</v>
      </c>
      <c r="T9" t="s">
        <v>45</v>
      </c>
      <c r="U9">
        <f ca="1">IF(tblForderungen[[#This Row],[Erhalten am]]="", TODAY()-tblForderungen[[#This Row],[Rechnungsdatum]], tblForderungen[[#This Row],[Erhalten am]]-tblForderungen[[#This Row],[Rechnungsdatum]])</f>
        <v>23</v>
      </c>
      <c r="V9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0–30</v>
      </c>
    </row>
    <row r="10" spans="1:22" x14ac:dyDescent="0.25">
      <c r="A10" t="s">
        <v>62</v>
      </c>
      <c r="B10" t="s">
        <v>12</v>
      </c>
      <c r="C10" s="2">
        <v>45866</v>
      </c>
      <c r="D10" s="2">
        <v>45866</v>
      </c>
      <c r="E10" s="2">
        <v>45896</v>
      </c>
      <c r="F10" s="3">
        <v>120</v>
      </c>
      <c r="G10">
        <v>19</v>
      </c>
      <c r="H10" s="3">
        <f>tblForderungen[[#This Row],[Netto]]*tblForderungen[[#This Row],[MwSt %]]/100</f>
        <v>22.8</v>
      </c>
      <c r="I10" s="3">
        <f>tblForderungen[[#This Row],[Netto]]+tblForderungen[[#This Row],[MwSt Betrag]]</f>
        <v>142.80000000000001</v>
      </c>
      <c r="J10" s="4">
        <v>0</v>
      </c>
      <c r="K10" s="2"/>
      <c r="L10" s="2">
        <v>45870</v>
      </c>
      <c r="M10" s="3">
        <f>SUMIFS(tblZahlungen[Betrag],tblZahlungen[Rechnungsnummer],tblForderungen[[#This Row],[Rechnungsnummer]])</f>
        <v>142.80000000000001</v>
      </c>
      <c r="N10" s="3">
        <f>tblForderungen[[#This Row],[Brutto]]-tblForderungen[[#This Row],[Gezahlt Summe]]</f>
        <v>0</v>
      </c>
      <c r="O10">
        <f ca="1">IF(tblForderungen[[#This Row],[Restbetrag]]&gt;0, IF(TODAY()&gt;tblForderungen[[#This Row],[Fällig am]], TODAY()-tblForderungen[[#This Row],[Fällig am]], 0), 0)</f>
        <v>0</v>
      </c>
      <c r="P10" t="str">
        <f ca="1">IF(tblForderungen[[#This Row],[Restbetrag]]&lt;=0,"Bezahlt", IF(TODAY()&gt;tblForderungen[[#This Row],[Fällig am]],"Überfällig","Offen"))</f>
        <v>Bezahlt</v>
      </c>
      <c r="Q10" t="s">
        <v>82</v>
      </c>
      <c r="R10" s="2"/>
      <c r="S10" s="3">
        <v>0</v>
      </c>
      <c r="T10" t="s">
        <v>45</v>
      </c>
      <c r="U10">
        <f ca="1">IF(tblForderungen[[#This Row],[Erhalten am]]="", TODAY()-tblForderungen[[#This Row],[Rechnungsdatum]], tblForderungen[[#This Row],[Erhalten am]]-tblForderungen[[#This Row],[Rechnungsdatum]])</f>
        <v>4</v>
      </c>
      <c r="V10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Bezahlt</v>
      </c>
    </row>
    <row r="11" spans="1:22" x14ac:dyDescent="0.25">
      <c r="A11" t="s">
        <v>90</v>
      </c>
      <c r="B11" t="s">
        <v>17</v>
      </c>
      <c r="C11" s="2">
        <v>45870</v>
      </c>
      <c r="D11" s="2">
        <v>45870</v>
      </c>
      <c r="E11" s="2">
        <v>45900</v>
      </c>
      <c r="F11" s="3">
        <v>950</v>
      </c>
      <c r="G11">
        <v>19</v>
      </c>
      <c r="H11" s="3">
        <f>tblForderungen[[#This Row],[Netto]]*tblForderungen[[#This Row],[MwSt %]]/100</f>
        <v>180.5</v>
      </c>
      <c r="I11" s="3">
        <f>tblForderungen[[#This Row],[Netto]]+tblForderungen[[#This Row],[MwSt Betrag]]</f>
        <v>1130.5</v>
      </c>
      <c r="J11" s="4">
        <v>0</v>
      </c>
      <c r="K11" s="2"/>
      <c r="L11" s="2"/>
      <c r="M11" s="3">
        <f>SUMIFS(tblZahlungen[Betrag],tblZahlungen[Rechnungsnummer],tblForderungen[[#This Row],[Rechnungsnummer]])</f>
        <v>0</v>
      </c>
      <c r="N11" s="3">
        <f>tblForderungen[[#This Row],[Brutto]]-tblForderungen[[#This Row],[Gezahlt Summe]]</f>
        <v>1130.5</v>
      </c>
      <c r="O11">
        <f ca="1">IF(tblForderungen[[#This Row],[Restbetrag]]&gt;0, IF(TODAY()&gt;tblForderungen[[#This Row],[Fällig am]], TODAY()-tblForderungen[[#This Row],[Fällig am]], 0), 0)</f>
        <v>0</v>
      </c>
      <c r="P11" t="str">
        <f ca="1">IF(tblForderungen[[#This Row],[Restbetrag]]&lt;=0,"Bezahlt", IF(TODAY()&gt;tblForderungen[[#This Row],[Fällig am]],"Überfällig","Offen"))</f>
        <v>Offen</v>
      </c>
      <c r="Q11" t="s">
        <v>82</v>
      </c>
      <c r="R11" s="2"/>
      <c r="S11" s="3">
        <v>0</v>
      </c>
      <c r="T11" t="s">
        <v>91</v>
      </c>
      <c r="U11">
        <f ca="1">IF(tblForderungen[[#This Row],[Erhalten am]]="", TODAY()-tblForderungen[[#This Row],[Rechnungsdatum]], tblForderungen[[#This Row],[Erhalten am]]-tblForderungen[[#This Row],[Rechnungsdatum]])</f>
        <v>16</v>
      </c>
      <c r="V11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0–0</v>
      </c>
    </row>
    <row r="12" spans="1:22" x14ac:dyDescent="0.25">
      <c r="A12" t="s">
        <v>92</v>
      </c>
      <c r="B12" t="s">
        <v>27</v>
      </c>
      <c r="C12" s="2">
        <v>45874</v>
      </c>
      <c r="D12" s="2">
        <v>45874</v>
      </c>
      <c r="E12" s="2">
        <v>45888</v>
      </c>
      <c r="F12" s="3">
        <v>420</v>
      </c>
      <c r="G12">
        <v>7</v>
      </c>
      <c r="H12" s="3">
        <f>tblForderungen[[#This Row],[Netto]]*tblForderungen[[#This Row],[MwSt %]]/100</f>
        <v>29.4</v>
      </c>
      <c r="I12" s="3">
        <f>tblForderungen[[#This Row],[Netto]]+tblForderungen[[#This Row],[MwSt Betrag]]</f>
        <v>449.4</v>
      </c>
      <c r="J12" s="4">
        <v>0</v>
      </c>
      <c r="K12" s="2"/>
      <c r="L12" s="2"/>
      <c r="M12" s="3">
        <f>SUMIFS(tblZahlungen[Betrag],tblZahlungen[Rechnungsnummer],tblForderungen[[#This Row],[Rechnungsnummer]])</f>
        <v>0</v>
      </c>
      <c r="N12" s="3">
        <f>tblForderungen[[#This Row],[Brutto]]-tblForderungen[[#This Row],[Gezahlt Summe]]</f>
        <v>449.4</v>
      </c>
      <c r="O12">
        <f ca="1">IF(tblForderungen[[#This Row],[Restbetrag]]&gt;0, IF(TODAY()&gt;tblForderungen[[#This Row],[Fällig am]], TODAY()-tblForderungen[[#This Row],[Fällig am]], 0), 0)</f>
        <v>0</v>
      </c>
      <c r="P12" t="str">
        <f ca="1">IF(tblForderungen[[#This Row],[Restbetrag]]&lt;=0,"Bezahlt", IF(TODAY()&gt;tblForderungen[[#This Row],[Fällig am]],"Überfällig","Offen"))</f>
        <v>Offen</v>
      </c>
      <c r="Q12" t="s">
        <v>82</v>
      </c>
      <c r="R12" s="2"/>
      <c r="S12" s="3">
        <v>0</v>
      </c>
      <c r="T12" t="s">
        <v>45</v>
      </c>
      <c r="U12">
        <f ca="1">IF(tblForderungen[[#This Row],[Erhalten am]]="", TODAY()-tblForderungen[[#This Row],[Rechnungsdatum]], tblForderungen[[#This Row],[Erhalten am]]-tblForderungen[[#This Row],[Rechnungsdatum]])</f>
        <v>12</v>
      </c>
      <c r="V12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0–0</v>
      </c>
    </row>
    <row r="13" spans="1:22" x14ac:dyDescent="0.25">
      <c r="A13" t="s">
        <v>93</v>
      </c>
      <c r="B13" t="s">
        <v>32</v>
      </c>
      <c r="C13" s="2">
        <v>45879</v>
      </c>
      <c r="D13" s="2">
        <v>45879</v>
      </c>
      <c r="E13" s="2">
        <v>45886</v>
      </c>
      <c r="F13" s="3">
        <v>300</v>
      </c>
      <c r="G13">
        <v>19</v>
      </c>
      <c r="H13" s="3">
        <f>tblForderungen[[#This Row],[Netto]]*tblForderungen[[#This Row],[MwSt %]]/100</f>
        <v>57</v>
      </c>
      <c r="I13" s="3">
        <f>tblForderungen[[#This Row],[Netto]]+tblForderungen[[#This Row],[MwSt Betrag]]</f>
        <v>357</v>
      </c>
      <c r="J13" s="4">
        <v>0</v>
      </c>
      <c r="K13" s="2"/>
      <c r="L13" s="2"/>
      <c r="M13" s="3">
        <f>SUMIFS(tblZahlungen[Betrag],tblZahlungen[Rechnungsnummer],tblForderungen[[#This Row],[Rechnungsnummer]])</f>
        <v>0</v>
      </c>
      <c r="N13" s="3">
        <f>tblForderungen[[#This Row],[Brutto]]-tblForderungen[[#This Row],[Gezahlt Summe]]</f>
        <v>357</v>
      </c>
      <c r="O13">
        <f ca="1">IF(tblForderungen[[#This Row],[Restbetrag]]&gt;0, IF(TODAY()&gt;tblForderungen[[#This Row],[Fällig am]], TODAY()-tblForderungen[[#This Row],[Fällig am]], 0), 0)</f>
        <v>0</v>
      </c>
      <c r="P13" t="str">
        <f ca="1">IF(tblForderungen[[#This Row],[Restbetrag]]&lt;=0,"Bezahlt", IF(TODAY()&gt;tblForderungen[[#This Row],[Fällig am]],"Überfällig","Offen"))</f>
        <v>Offen</v>
      </c>
      <c r="Q13" t="s">
        <v>82</v>
      </c>
      <c r="R13" s="2"/>
      <c r="S13" s="3">
        <v>0</v>
      </c>
      <c r="T13" t="s">
        <v>94</v>
      </c>
      <c r="U13">
        <f ca="1">IF(tblForderungen[[#This Row],[Erhalten am]]="", TODAY()-tblForderungen[[#This Row],[Rechnungsdatum]], tblForderungen[[#This Row],[Erhalten am]]-tblForderungen[[#This Row],[Rechnungsdatum]])</f>
        <v>7</v>
      </c>
      <c r="V13" t="str">
        <f ca="1">IF(tblForderungen[[#This Row],[Status]]="Bezahlt","Bezahlt", IF(tblForderungen[[#This Row],[Tage überfällig]]&lt;=0,"0–0", IF(tblForderungen[[#This Row],[Tage überfällig]]&lt;=30,"0–30", IF(tblForderungen[[#This Row],[Tage überfällig]]&lt;=60,"31–60", IF(tblForderungen[[#This Row],[Tage überfällig]]&lt;=90,"61–90","&gt;90")))))</f>
        <v>0–0</v>
      </c>
    </row>
  </sheetData>
  <conditionalFormatting sqref="A2:V14">
    <cfRule type="expression" dxfId="5" priority="1">
      <formula>$P2="Überfällig"</formula>
    </cfRule>
    <cfRule type="expression" dxfId="4" priority="2">
      <formula>AND($N2&gt;0, $E2-TODAY()&lt;=7, $E2-TODAY()&gt;=0)</formula>
    </cfRule>
    <cfRule type="expression" dxfId="3" priority="3">
      <formula>$P2="Bezahlt"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/>
  </sheetViews>
  <sheetFormatPr baseColWidth="10" defaultColWidth="9.140625" defaultRowHeight="15" x14ac:dyDescent="0.25"/>
  <cols>
    <col min="1" max="1" width="20.7109375" customWidth="1"/>
    <col min="2" max="2" width="40.7109375" customWidth="1"/>
  </cols>
  <sheetData>
    <row r="1" spans="1:2" x14ac:dyDescent="0.25">
      <c r="A1" s="5" t="s">
        <v>95</v>
      </c>
      <c r="B1" s="5" t="s">
        <v>96</v>
      </c>
    </row>
    <row r="2" spans="1:2" x14ac:dyDescent="0.25">
      <c r="A2" t="s">
        <v>97</v>
      </c>
      <c r="B2" t="s">
        <v>98</v>
      </c>
    </row>
    <row r="4" spans="1:2" x14ac:dyDescent="0.25">
      <c r="A4" t="s">
        <v>99</v>
      </c>
      <c r="B4" t="s">
        <v>100</v>
      </c>
    </row>
    <row r="5" spans="1:2" x14ac:dyDescent="0.25">
      <c r="A5" t="s">
        <v>77</v>
      </c>
      <c r="B5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M22" sqref="M22"/>
    </sheetView>
  </sheetViews>
  <sheetFormatPr baseColWidth="10" defaultColWidth="9.140625" defaultRowHeight="15" x14ac:dyDescent="0.25"/>
  <cols>
    <col min="1" max="1" width="26.7109375" customWidth="1"/>
    <col min="2" max="2" width="17.5703125" bestFit="1" customWidth="1"/>
    <col min="4" max="4" width="18.7109375" customWidth="1"/>
    <col min="5" max="5" width="20.7109375" customWidth="1"/>
    <col min="7" max="14" width="14.7109375" customWidth="1"/>
  </cols>
  <sheetData>
    <row r="1" spans="1:5" ht="21.95" customHeight="1" x14ac:dyDescent="0.25">
      <c r="A1" s="6" t="s">
        <v>102</v>
      </c>
      <c r="D1" s="13" t="s">
        <v>106</v>
      </c>
      <c r="E1" s="13"/>
    </row>
    <row r="2" spans="1:5" x14ac:dyDescent="0.25">
      <c r="A2" s="7">
        <f ca="1">SUMIFS(tblForderungen[Restbetrag],tblForderungen[Status],"&lt;&gt; Bezahlt")</f>
        <v>2433.3000000000002</v>
      </c>
      <c r="D2" s="5" t="s">
        <v>81</v>
      </c>
      <c r="E2" s="5" t="s">
        <v>107</v>
      </c>
    </row>
    <row r="3" spans="1:5" ht="21.95" customHeight="1" x14ac:dyDescent="0.25">
      <c r="A3" s="6" t="s">
        <v>103</v>
      </c>
      <c r="D3" s="8" t="s">
        <v>108</v>
      </c>
      <c r="E3" s="3">
        <f ca="1">SUMIFS(tblForderungen[Restbetrag],tblForderungen[Bucket],"0–0",tblForderungen[Status],"&lt;&gt; Bezahlt")</f>
        <v>1936.9</v>
      </c>
    </row>
    <row r="4" spans="1:5" x14ac:dyDescent="0.25">
      <c r="A4" s="7">
        <f ca="1">SUMIFS(tblForderungen[Restbetrag],tblForderungen[Status],"Überfällig")</f>
        <v>577</v>
      </c>
      <c r="D4" s="12" t="s">
        <v>109</v>
      </c>
      <c r="E4" s="11">
        <f ca="1">SUMIFS(tblForderungen[Restbetrag],tblForderungen[Bucket],"0–30",tblForderungen[Status],"&lt;&gt; Bezahlt")</f>
        <v>577</v>
      </c>
    </row>
    <row r="5" spans="1:5" ht="21.95" customHeight="1" x14ac:dyDescent="0.25">
      <c r="A5" s="6" t="s">
        <v>104</v>
      </c>
      <c r="D5" s="8" t="s">
        <v>110</v>
      </c>
      <c r="E5" s="3">
        <f ca="1">SUMIFS(tblForderungen[Restbetrag],tblForderungen[Bucket],"31–60",tblForderungen[Status],"&lt;&gt; Bezahlt")</f>
        <v>0</v>
      </c>
    </row>
    <row r="6" spans="1:5" x14ac:dyDescent="0.25">
      <c r="A6" s="9">
        <f ca="1">AVERAGEIFS(tblForderungen[Zahlungstage],tblForderungen[Status],"Bezahlt")</f>
        <v>23.714285714285715</v>
      </c>
      <c r="D6" s="12" t="s">
        <v>111</v>
      </c>
      <c r="E6" s="11">
        <f ca="1">SUMIFS(tblForderungen[Restbetrag],tblForderungen[Bucket],"61–90",tblForderungen[Status],"&lt;&gt; Bezahlt")</f>
        <v>0</v>
      </c>
    </row>
    <row r="7" spans="1:5" ht="21.95" customHeight="1" x14ac:dyDescent="0.25">
      <c r="A7" s="6" t="s">
        <v>105</v>
      </c>
      <c r="D7" s="8" t="s">
        <v>112</v>
      </c>
      <c r="E7" s="3">
        <f ca="1">SUMIFS(tblForderungen[Restbetrag],tblForderungen[Bucket],"&gt;90",tblForderungen[Status],"&lt;&gt; Bezahlt")</f>
        <v>0</v>
      </c>
    </row>
    <row r="8" spans="1:5" x14ac:dyDescent="0.25">
      <c r="A8" s="1">
        <f ca="1">COUNTIFS(tblForderungen[Status],"&lt;&gt; Bezahlt")</f>
        <v>12</v>
      </c>
    </row>
    <row r="10" spans="1:5" x14ac:dyDescent="0.25">
      <c r="A10" s="13" t="s">
        <v>113</v>
      </c>
      <c r="B10" s="13"/>
    </row>
    <row r="11" spans="1:5" x14ac:dyDescent="0.25">
      <c r="A11" s="5" t="s">
        <v>114</v>
      </c>
      <c r="B11" s="5" t="s">
        <v>115</v>
      </c>
    </row>
    <row r="12" spans="1:5" x14ac:dyDescent="0.25">
      <c r="A12" s="2">
        <v>45717</v>
      </c>
      <c r="B12" s="3">
        <f>SUMIFS(tblZahlungen[Betrag],tblZahlungen[Zahlungsdatum],"&gt;="&amp;DATE(2025,3,1),tblZahlungen[Zahlungsdatum],"&lt;"&amp;DATE(2025,4,1))</f>
        <v>0</v>
      </c>
    </row>
    <row r="13" spans="1:5" x14ac:dyDescent="0.25">
      <c r="A13" s="10">
        <v>45748</v>
      </c>
      <c r="B13" s="11">
        <f>SUMIFS(tblZahlungen[Betrag],tblZahlungen[Zahlungsdatum],"&gt;="&amp;DATE(2025,4,1),tblZahlungen[Zahlungsdatum],"&lt;"&amp;DATE(2025,5,1))</f>
        <v>0</v>
      </c>
    </row>
    <row r="14" spans="1:5" x14ac:dyDescent="0.25">
      <c r="A14" s="2">
        <v>45778</v>
      </c>
      <c r="B14" s="3">
        <f>SUMIFS(tblZahlungen[Betrag],tblZahlungen[Zahlungsdatum],"&gt;="&amp;DATE(2025,5,1),tblZahlungen[Zahlungsdatum],"&lt;"&amp;DATE(2025,6,1))</f>
        <v>0</v>
      </c>
    </row>
    <row r="15" spans="1:5" x14ac:dyDescent="0.25">
      <c r="A15" s="10">
        <v>45809</v>
      </c>
      <c r="B15" s="11">
        <f>SUMIFS(tblZahlungen[Betrag],tblZahlungen[Zahlungsdatum],"&gt;="&amp;DATE(2025,6,1),tblZahlungen[Zahlungsdatum],"&lt;"&amp;DATE(2025,7,1))</f>
        <v>1785</v>
      </c>
    </row>
    <row r="16" spans="1:5" x14ac:dyDescent="0.25">
      <c r="A16" s="2">
        <v>45839</v>
      </c>
      <c r="B16" s="3">
        <f>SUMIFS(tblZahlungen[Betrag],tblZahlungen[Zahlungsdatum],"&gt;="&amp;DATE(2025,7,1),tblZahlungen[Zahlungsdatum],"&lt;"&amp;DATE(2025,8,1))</f>
        <v>1497.5</v>
      </c>
    </row>
    <row r="17" spans="1:2" x14ac:dyDescent="0.25">
      <c r="A17" s="10">
        <v>45870</v>
      </c>
      <c r="B17" s="11">
        <f>SUMIFS(tblZahlungen[Betrag],tblZahlungen[Zahlungsdatum],"&gt;="&amp;DATE(2025,8,1),tblZahlungen[Zahlungsdatum],"&lt;"&amp;DATE(2025,9,1))</f>
        <v>594.79999999999995</v>
      </c>
    </row>
  </sheetData>
  <mergeCells count="2">
    <mergeCell ref="D1:E1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Kunden</vt:lpstr>
      <vt:lpstr>Zahlungen</vt:lpstr>
      <vt:lpstr>Forderungen</vt:lpstr>
      <vt:lpstr>Parameter</vt:lpstr>
      <vt:lpstr>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created xsi:type="dcterms:W3CDTF">2025-08-17T08:57:38Z</dcterms:created>
  <dcterms:modified xsi:type="dcterms:W3CDTF">2025-08-17T09:14:23Z</dcterms:modified>
</cp:coreProperties>
</file>