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etriebstagebuch\"/>
    </mc:Choice>
  </mc:AlternateContent>
  <xr:revisionPtr revIDLastSave="0" documentId="13_ncr:1_{E4FC9228-C686-4A23-B359-03246ECE85B3}" xr6:coauthVersionLast="47" xr6:coauthVersionMax="47" xr10:uidLastSave="{00000000-0000-0000-0000-000000000000}"/>
  <bookViews>
    <workbookView xWindow="2685" yWindow="2685" windowWidth="22155" windowHeight="12330" xr2:uid="{00000000-000D-0000-FFFF-FFFF00000000}"/>
  </bookViews>
  <sheets>
    <sheet name="Log" sheetId="1" r:id="rId1"/>
    <sheet name="Listen" sheetId="2" r:id="rId2"/>
    <sheet name="Übersicht" sheetId="3" r:id="rId3"/>
  </sheets>
  <definedNames>
    <definedName name="rngAnlage">Listen!$I$2:$I$11</definedName>
    <definedName name="rngPriorität">Listen!$G$2:$G$4</definedName>
    <definedName name="rngStatus">Listen!$E$2:$E$4</definedName>
    <definedName name="rngTyp">Listen!$A$2:$A$11</definedName>
    <definedName name="rngVerantwortlich">Listen!$C$2:$C$11</definedName>
    <definedName name="_xlnm.Print_Titles" localSheetId="0">Log!2:2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3" l="1"/>
  <c r="B26" i="3"/>
  <c r="C25" i="3"/>
  <c r="B25" i="3"/>
  <c r="C24" i="3"/>
  <c r="B24" i="3"/>
  <c r="C23" i="3"/>
  <c r="B23" i="3"/>
  <c r="C22" i="3"/>
  <c r="B22" i="3"/>
  <c r="C21" i="3"/>
  <c r="B21" i="3"/>
  <c r="C20" i="3"/>
  <c r="B20" i="3"/>
  <c r="H15" i="3"/>
  <c r="B15" i="3"/>
  <c r="H14" i="3"/>
  <c r="B14" i="3"/>
  <c r="H13" i="3"/>
  <c r="F13" i="3"/>
  <c r="B13" i="3"/>
  <c r="H12" i="3"/>
  <c r="B12" i="3"/>
  <c r="H11" i="3"/>
  <c r="E11" i="3"/>
  <c r="B11" i="3"/>
  <c r="H10" i="3"/>
  <c r="E10" i="3"/>
  <c r="B10" i="3"/>
  <c r="H9" i="3"/>
  <c r="E9" i="3"/>
  <c r="B9" i="3"/>
  <c r="D4" i="3"/>
  <c r="C4" i="3"/>
  <c r="B4" i="3"/>
  <c r="A4" i="3"/>
  <c r="H2" i="3"/>
  <c r="H3" i="3" s="1"/>
  <c r="J1" i="3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L1" i="1"/>
  <c r="E4" i="3" l="1"/>
</calcChain>
</file>

<file path=xl/sharedStrings.xml><?xml version="1.0" encoding="utf-8"?>
<sst xmlns="http://schemas.openxmlformats.org/spreadsheetml/2006/main" count="273" uniqueCount="142">
  <si>
    <t>Betriebstagebuch – Betriebslogbuch</t>
  </si>
  <si>
    <t>Datum</t>
  </si>
  <si>
    <t>Ereignis</t>
  </si>
  <si>
    <t>Typ</t>
  </si>
  <si>
    <t>Verantwortlich</t>
  </si>
  <si>
    <t>Beginn</t>
  </si>
  <si>
    <t>Ende</t>
  </si>
  <si>
    <t>Dauer (Std)</t>
  </si>
  <si>
    <t>Status</t>
  </si>
  <si>
    <t>Priorität</t>
  </si>
  <si>
    <t>Anlage/Bereich</t>
  </si>
  <si>
    <t>Nr.</t>
  </si>
  <si>
    <t>Notizen</t>
  </si>
  <si>
    <t>Geplante Wartung der Linie A</t>
  </si>
  <si>
    <t>Wartung</t>
  </si>
  <si>
    <t>Anna Müller</t>
  </si>
  <si>
    <t>07:30</t>
  </si>
  <si>
    <t>10:15</t>
  </si>
  <si>
    <t>Geschlossen</t>
  </si>
  <si>
    <t>Mittel</t>
  </si>
  <si>
    <t>Werk 1 – Linie A</t>
  </si>
  <si>
    <t>A-2025-001</t>
  </si>
  <si>
    <t>Filter gewechselt, Schmierung durchgeführt.</t>
  </si>
  <si>
    <t>Lieferung von Ersatzteilen</t>
  </si>
  <si>
    <t>Lieferung</t>
  </si>
  <si>
    <t>Ben Schneider</t>
  </si>
  <si>
    <t>09:00</t>
  </si>
  <si>
    <t>09:45</t>
  </si>
  <si>
    <t>Niedrig</t>
  </si>
  <si>
    <t>Lager – Wareneingang</t>
  </si>
  <si>
    <t>L-2025-014</t>
  </si>
  <si>
    <t>Wareneingang geprüft, keine Abweichungen.</t>
  </si>
  <si>
    <t>Störung: Förderband stoppte</t>
  </si>
  <si>
    <t>Störung</t>
  </si>
  <si>
    <t>Clara Vogel</t>
  </si>
  <si>
    <t>14:20</t>
  </si>
  <si>
    <t>15:05</t>
  </si>
  <si>
    <t>Hoch</t>
  </si>
  <si>
    <t>Werk 2 – Montage</t>
  </si>
  <si>
    <t>S-2025-072</t>
  </si>
  <si>
    <t>Sensor verschmutzt, gereinigt.</t>
  </si>
  <si>
    <t>Qualitätskontrolle Los 118</t>
  </si>
  <si>
    <t>Kontrolle</t>
  </si>
  <si>
    <t>Eva Wagner</t>
  </si>
  <si>
    <t>11:00</t>
  </si>
  <si>
    <t>12:10</t>
  </si>
  <si>
    <t>Qualität – Prüfraum</t>
  </si>
  <si>
    <t>Q-2025-118</t>
  </si>
  <si>
    <t>Stichproben OK.</t>
  </si>
  <si>
    <t>Schulung Arbeitssicherheit</t>
  </si>
  <si>
    <t>Schulung</t>
  </si>
  <si>
    <t>David Koch</t>
  </si>
  <si>
    <t>08:00</t>
  </si>
  <si>
    <t>11:30</t>
  </si>
  <si>
    <t>Büro – Verwaltung</t>
  </si>
  <si>
    <t>T-2025-021</t>
  </si>
  <si>
    <t>Neue Mitarbeiter unterwiesen.</t>
  </si>
  <si>
    <t>Produktion Schicht 2 – Umrüstung</t>
  </si>
  <si>
    <t>Produktion</t>
  </si>
  <si>
    <t>Felix Braun</t>
  </si>
  <si>
    <t>22:00</t>
  </si>
  <si>
    <t>23:15</t>
  </si>
  <si>
    <t>Werk 1 – Linie B</t>
  </si>
  <si>
    <t>P-2025-233</t>
  </si>
  <si>
    <t>Formatwechsel auf 500 ml.</t>
  </si>
  <si>
    <t>Störung: Druckluft niedrig</t>
  </si>
  <si>
    <t>Greta Hofmann</t>
  </si>
  <si>
    <t>05:40</t>
  </si>
  <si>
    <t>06:05</t>
  </si>
  <si>
    <t>Instandhaltung</t>
  </si>
  <si>
    <t>S-2025-081</t>
  </si>
  <si>
    <t>Leckage am Ventil behoben.</t>
  </si>
  <si>
    <t>Lieferung Verpackungsmaterial</t>
  </si>
  <si>
    <t>13:10</t>
  </si>
  <si>
    <t>13:40</t>
  </si>
  <si>
    <t>Lager – Warenausgang</t>
  </si>
  <si>
    <t>L-2025-019</t>
  </si>
  <si>
    <t>Material an Linie B verteilt.</t>
  </si>
  <si>
    <t>Störung: Etikettierer driftet</t>
  </si>
  <si>
    <t>16:55</t>
  </si>
  <si>
    <t>17:25</t>
  </si>
  <si>
    <t>In Bearbeitung</t>
  </si>
  <si>
    <t>Werk 2 – Verpackung</t>
  </si>
  <si>
    <t>S-2025-093</t>
  </si>
  <si>
    <t>Ersatzteil bestellt, temporär justiert.</t>
  </si>
  <si>
    <t>Wartung: Schmierung Zylinder</t>
  </si>
  <si>
    <t>07:00</t>
  </si>
  <si>
    <t>08:10</t>
  </si>
  <si>
    <t>A-2025-007</t>
  </si>
  <si>
    <t>Planmäßig durchgeführt.</t>
  </si>
  <si>
    <t>Produktion: Testlauf neuer Charge</t>
  </si>
  <si>
    <t>18:00</t>
  </si>
  <si>
    <t>20:45</t>
  </si>
  <si>
    <t>P-2025-251</t>
  </si>
  <si>
    <t>Ergebnis innerhalb Spezifikation.</t>
  </si>
  <si>
    <t>Auditvorbereitung Dokumente</t>
  </si>
  <si>
    <t>Offen</t>
  </si>
  <si>
    <t>Q-2025-132</t>
  </si>
  <si>
    <t>Checkliste offen.</t>
  </si>
  <si>
    <t>Lieferung: Kalibrierkit erwartet</t>
  </si>
  <si>
    <t>10:00</t>
  </si>
  <si>
    <t>L-2025-023</t>
  </si>
  <si>
    <t>Termin von Lieferant bestätigt.</t>
  </si>
  <si>
    <t>Störung: Überhitzung Motor M3</t>
  </si>
  <si>
    <t>03:10</t>
  </si>
  <si>
    <t>04:05</t>
  </si>
  <si>
    <t>S-2025-066</t>
  </si>
  <si>
    <t>Kühlrippen gereinigt, Lüfter gewechselt.</t>
  </si>
  <si>
    <t>Sicherheitsbegehung</t>
  </si>
  <si>
    <t>09:30</t>
  </si>
  <si>
    <t>Außenbereich</t>
  </si>
  <si>
    <t>T-2025-017</t>
  </si>
  <si>
    <t>Hinweisschilder aktualisiert.</t>
  </si>
  <si>
    <t>Jahreswartung Kesselsystem</t>
  </si>
  <si>
    <t>06:00</t>
  </si>
  <si>
    <t>10:45</t>
  </si>
  <si>
    <t>A-2025-002</t>
  </si>
  <si>
    <t>Drucktest bestanden.</t>
  </si>
  <si>
    <t>Produktion: Nacharbeit Los 119</t>
  </si>
  <si>
    <t>12:00</t>
  </si>
  <si>
    <t>13:20</t>
  </si>
  <si>
    <t>P-2025-245</t>
  </si>
  <si>
    <t>Ausschuss reduziert.</t>
  </si>
  <si>
    <t>Störung: Scanner offline</t>
  </si>
  <si>
    <t>07:50</t>
  </si>
  <si>
    <t>08:05</t>
  </si>
  <si>
    <t>S-2025-090</t>
  </si>
  <si>
    <t>Neustart half.</t>
  </si>
  <si>
    <t>Sonstiges</t>
  </si>
  <si>
    <t>Übersicht – Kennzahlen</t>
  </si>
  <si>
    <t>Monatsbeginn</t>
  </si>
  <si>
    <t>Ereignisse gesamt</t>
  </si>
  <si>
    <t>Stunden aktueller Monat</t>
  </si>
  <si>
    <t>Monatsende</t>
  </si>
  <si>
    <t>Vorkommen je Typ</t>
  </si>
  <si>
    <t>Vorkommen je Status</t>
  </si>
  <si>
    <t>Stunden je Typ</t>
  </si>
  <si>
    <t>Anzahl</t>
  </si>
  <si>
    <t>Stunden</t>
  </si>
  <si>
    <t>Offen &amp; überfällig</t>
  </si>
  <si>
    <t>Stunden je Verantwortlich</t>
  </si>
  <si>
    <t>Vorgänge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</si>
</sst>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6" formatCode="hh:mm"/>
    <numFmt numFmtId="167" formatCode="[h]:mm"/>
  </numFmts>
  <fonts count="4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name val="Calibri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0484E"/>
      </patternFill>
    </fill>
  </fills>
  <borders count="2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2" fillId="0" borderId="1" xfId="0" applyNumberFormat="1" applyFont="1" applyBorder="1" applyAlignment="1">
      <alignment horizontal="right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top" wrapText="1"/>
    </xf>
    <xf numFmtId="16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166" fontId="0" fillId="0" borderId="1" xfId="0" applyNumberFormat="1" applyBorder="1" applyProtection="1">
      <protection locked="0"/>
    </xf>
    <xf numFmtId="167" fontId="0" fillId="0" borderId="1" xfId="0" applyNumberFormat="1" applyBorder="1"/>
    <xf numFmtId="0" fontId="0" fillId="0" borderId="1" xfId="0" applyBorder="1"/>
    <xf numFmtId="166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0" fontId="0" fillId="0" borderId="0" xfId="0" applyAlignment="1" applyProtection="1">
      <alignment vertical="top" wrapText="1"/>
      <protection locked="0"/>
    </xf>
    <xf numFmtId="0" fontId="0" fillId="0" borderId="0" xfId="0" applyProtection="1">
      <protection locked="0"/>
    </xf>
    <xf numFmtId="167" fontId="0" fillId="0" borderId="0" xfId="0" applyNumberFormat="1"/>
    <xf numFmtId="164" fontId="0" fillId="0" borderId="1" xfId="0" applyNumberFormat="1" applyBorder="1"/>
    <xf numFmtId="0" fontId="2" fillId="0" borderId="1" xfId="0" applyFont="1" applyBorder="1"/>
    <xf numFmtId="167" fontId="2" fillId="0" borderId="1" xfId="0" applyNumberFormat="1" applyFont="1" applyBorder="1"/>
    <xf numFmtId="0" fontId="3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left"/>
    </xf>
  </cellXfs>
  <cellStyles count="1">
    <cellStyle name="Normal" xfId="0" builtinId="0"/>
  </cellStyles>
  <dxfs count="3">
    <dxf>
      <fill>
        <patternFill patternType="solid">
          <fgColor rgb="FFF8CBAD"/>
        </patternFill>
      </fill>
    </dxf>
    <dxf>
      <fill>
        <patternFill patternType="solid">
          <fgColor rgb="FFFFC7CE"/>
        </patternFill>
      </fill>
    </dxf>
    <dxf>
      <fill>
        <patternFill patternType="solid">
          <fgColor rgb="FFFFF2C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Log" displayName="tblLog" ref="A2:L50">
  <autoFilter ref="A2:L50" xr:uid="{00000000-0009-0000-0100-000001000000}"/>
  <tableColumns count="12">
    <tableColumn id="1" xr3:uid="{00000000-0010-0000-0000-000001000000}" name="Datum"/>
    <tableColumn id="2" xr3:uid="{00000000-0010-0000-0000-000002000000}" name="Ereignis"/>
    <tableColumn id="3" xr3:uid="{00000000-0010-0000-0000-000003000000}" name="Typ"/>
    <tableColumn id="4" xr3:uid="{00000000-0010-0000-0000-000004000000}" name="Verantwortlich"/>
    <tableColumn id="5" xr3:uid="{00000000-0010-0000-0000-000005000000}" name="Beginn"/>
    <tableColumn id="6" xr3:uid="{00000000-0010-0000-0000-000006000000}" name="Ende"/>
    <tableColumn id="7" xr3:uid="{00000000-0010-0000-0000-000007000000}" name="Dauer (Std)"/>
    <tableColumn id="8" xr3:uid="{00000000-0010-0000-0000-000008000000}" name="Status"/>
    <tableColumn id="9" xr3:uid="{00000000-0010-0000-0000-000009000000}" name="Priorität"/>
    <tableColumn id="10" xr3:uid="{00000000-0010-0000-0000-00000A000000}" name="Anlage/Bereich"/>
    <tableColumn id="11" xr3:uid="{00000000-0010-0000-0000-00000B000000}" name="Nr."/>
    <tableColumn id="12" xr3:uid="{00000000-0010-0000-0000-00000C000000}" name="Notizen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0"/>
  <sheetViews>
    <sheetView tabSelected="1" workbookViewId="0">
      <pane ySplit="2" topLeftCell="A3" activePane="bottomLeft" state="frozen"/>
      <selection pane="bottomLeft" sqref="A1:K1"/>
    </sheetView>
  </sheetViews>
  <sheetFormatPr baseColWidth="10" defaultColWidth="9.140625" defaultRowHeight="15" x14ac:dyDescent="0.25"/>
  <cols>
    <col min="1" max="1" width="12" customWidth="1"/>
    <col min="2" max="2" width="28" customWidth="1"/>
    <col min="3" max="3" width="16" customWidth="1"/>
    <col min="4" max="4" width="20" customWidth="1"/>
    <col min="5" max="6" width="10" customWidth="1"/>
    <col min="7" max="7" width="12" customWidth="1"/>
    <col min="8" max="8" width="16" customWidth="1"/>
    <col min="9" max="9" width="12" customWidth="1"/>
    <col min="10" max="10" width="22" customWidth="1"/>
    <col min="11" max="11" width="12" customWidth="1"/>
    <col min="12" max="12" width="36" customWidth="1"/>
  </cols>
  <sheetData>
    <row r="1" spans="1:12" ht="18.75" x14ac:dyDescent="0.25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1">
        <f ca="1">TODAY()</f>
        <v>45894</v>
      </c>
    </row>
    <row r="2" spans="1:12" x14ac:dyDescent="0.2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3" t="s">
        <v>12</v>
      </c>
    </row>
    <row r="3" spans="1:12" ht="30" x14ac:dyDescent="0.25">
      <c r="A3" s="4">
        <v>45882</v>
      </c>
      <c r="B3" s="5" t="s">
        <v>13</v>
      </c>
      <c r="C3" s="6" t="s">
        <v>14</v>
      </c>
      <c r="D3" s="6" t="s">
        <v>15</v>
      </c>
      <c r="E3" s="7" t="s">
        <v>16</v>
      </c>
      <c r="F3" s="7" t="s">
        <v>17</v>
      </c>
      <c r="G3" s="8">
        <f t="shared" ref="G3:G50" si="0">IF(AND(E3&lt;&gt;"",F3&lt;&gt;""),F3-E3,"")</f>
        <v>0.11458333333333331</v>
      </c>
      <c r="H3" s="9" t="s">
        <v>18</v>
      </c>
      <c r="I3" s="9" t="s">
        <v>19</v>
      </c>
      <c r="J3" s="9" t="s">
        <v>20</v>
      </c>
      <c r="K3" s="6" t="s">
        <v>21</v>
      </c>
      <c r="L3" s="5" t="s">
        <v>22</v>
      </c>
    </row>
    <row r="4" spans="1:12" ht="30" x14ac:dyDescent="0.25">
      <c r="A4" s="4">
        <v>45884</v>
      </c>
      <c r="B4" s="5" t="s">
        <v>23</v>
      </c>
      <c r="C4" s="6" t="s">
        <v>24</v>
      </c>
      <c r="D4" s="6" t="s">
        <v>25</v>
      </c>
      <c r="E4" s="7" t="s">
        <v>26</v>
      </c>
      <c r="F4" s="7" t="s">
        <v>27</v>
      </c>
      <c r="G4" s="8">
        <f t="shared" si="0"/>
        <v>3.125E-2</v>
      </c>
      <c r="H4" s="9" t="s">
        <v>18</v>
      </c>
      <c r="I4" s="9" t="s">
        <v>28</v>
      </c>
      <c r="J4" s="9" t="s">
        <v>29</v>
      </c>
      <c r="K4" s="6" t="s">
        <v>30</v>
      </c>
      <c r="L4" s="5" t="s">
        <v>31</v>
      </c>
    </row>
    <row r="5" spans="1:12" x14ac:dyDescent="0.25">
      <c r="A5" s="4">
        <v>45885</v>
      </c>
      <c r="B5" s="5" t="s">
        <v>32</v>
      </c>
      <c r="C5" s="6" t="s">
        <v>33</v>
      </c>
      <c r="D5" s="6" t="s">
        <v>34</v>
      </c>
      <c r="E5" s="7" t="s">
        <v>35</v>
      </c>
      <c r="F5" s="7" t="s">
        <v>36</v>
      </c>
      <c r="G5" s="8">
        <f t="shared" si="0"/>
        <v>3.125E-2</v>
      </c>
      <c r="H5" s="9" t="s">
        <v>18</v>
      </c>
      <c r="I5" s="9" t="s">
        <v>37</v>
      </c>
      <c r="J5" s="9" t="s">
        <v>38</v>
      </c>
      <c r="K5" s="6" t="s">
        <v>39</v>
      </c>
      <c r="L5" s="5" t="s">
        <v>40</v>
      </c>
    </row>
    <row r="6" spans="1:12" x14ac:dyDescent="0.25">
      <c r="A6" s="4">
        <v>45886</v>
      </c>
      <c r="B6" s="5" t="s">
        <v>41</v>
      </c>
      <c r="C6" s="6" t="s">
        <v>42</v>
      </c>
      <c r="D6" s="6" t="s">
        <v>43</v>
      </c>
      <c r="E6" s="7" t="s">
        <v>44</v>
      </c>
      <c r="F6" s="7" t="s">
        <v>45</v>
      </c>
      <c r="G6" s="8">
        <f t="shared" si="0"/>
        <v>4.8611111111111105E-2</v>
      </c>
      <c r="H6" s="9" t="s">
        <v>18</v>
      </c>
      <c r="I6" s="9" t="s">
        <v>19</v>
      </c>
      <c r="J6" s="9" t="s">
        <v>46</v>
      </c>
      <c r="K6" s="6" t="s">
        <v>47</v>
      </c>
      <c r="L6" s="5" t="s">
        <v>48</v>
      </c>
    </row>
    <row r="7" spans="1:12" x14ac:dyDescent="0.25">
      <c r="A7" s="4">
        <v>45887</v>
      </c>
      <c r="B7" s="5" t="s">
        <v>49</v>
      </c>
      <c r="C7" s="6" t="s">
        <v>50</v>
      </c>
      <c r="D7" s="6" t="s">
        <v>51</v>
      </c>
      <c r="E7" s="7" t="s">
        <v>52</v>
      </c>
      <c r="F7" s="7" t="s">
        <v>53</v>
      </c>
      <c r="G7" s="8">
        <f t="shared" si="0"/>
        <v>0.14583333333333337</v>
      </c>
      <c r="H7" s="9" t="s">
        <v>18</v>
      </c>
      <c r="I7" s="9" t="s">
        <v>19</v>
      </c>
      <c r="J7" s="9" t="s">
        <v>54</v>
      </c>
      <c r="K7" s="6" t="s">
        <v>55</v>
      </c>
      <c r="L7" s="5" t="s">
        <v>56</v>
      </c>
    </row>
    <row r="8" spans="1:12" ht="30" x14ac:dyDescent="0.25">
      <c r="A8" s="4">
        <v>45888</v>
      </c>
      <c r="B8" s="5" t="s">
        <v>57</v>
      </c>
      <c r="C8" s="6" t="s">
        <v>58</v>
      </c>
      <c r="D8" s="6" t="s">
        <v>59</v>
      </c>
      <c r="E8" s="7" t="s">
        <v>60</v>
      </c>
      <c r="F8" s="7" t="s">
        <v>61</v>
      </c>
      <c r="G8" s="8">
        <f t="shared" si="0"/>
        <v>5.208333333333337E-2</v>
      </c>
      <c r="H8" s="9" t="s">
        <v>18</v>
      </c>
      <c r="I8" s="9" t="s">
        <v>19</v>
      </c>
      <c r="J8" s="9" t="s">
        <v>62</v>
      </c>
      <c r="K8" s="6" t="s">
        <v>63</v>
      </c>
      <c r="L8" s="5" t="s">
        <v>64</v>
      </c>
    </row>
    <row r="9" spans="1:12" x14ac:dyDescent="0.25">
      <c r="A9" s="4">
        <v>45889</v>
      </c>
      <c r="B9" s="5" t="s">
        <v>65</v>
      </c>
      <c r="C9" s="6" t="s">
        <v>33</v>
      </c>
      <c r="D9" s="6" t="s">
        <v>66</v>
      </c>
      <c r="E9" s="7" t="s">
        <v>67</v>
      </c>
      <c r="F9" s="7" t="s">
        <v>68</v>
      </c>
      <c r="G9" s="8">
        <f t="shared" si="0"/>
        <v>1.7361111111111105E-2</v>
      </c>
      <c r="H9" s="9" t="s">
        <v>18</v>
      </c>
      <c r="I9" s="9" t="s">
        <v>37</v>
      </c>
      <c r="J9" s="9" t="s">
        <v>69</v>
      </c>
      <c r="K9" s="6" t="s">
        <v>70</v>
      </c>
      <c r="L9" s="5" t="s">
        <v>71</v>
      </c>
    </row>
    <row r="10" spans="1:12" ht="30" x14ac:dyDescent="0.25">
      <c r="A10" s="4">
        <v>45890</v>
      </c>
      <c r="B10" s="5" t="s">
        <v>72</v>
      </c>
      <c r="C10" s="6" t="s">
        <v>24</v>
      </c>
      <c r="D10" s="6" t="s">
        <v>25</v>
      </c>
      <c r="E10" s="7" t="s">
        <v>73</v>
      </c>
      <c r="F10" s="7" t="s">
        <v>74</v>
      </c>
      <c r="G10" s="8">
        <f t="shared" si="0"/>
        <v>2.0833333333333259E-2</v>
      </c>
      <c r="H10" s="9" t="s">
        <v>18</v>
      </c>
      <c r="I10" s="9" t="s">
        <v>28</v>
      </c>
      <c r="J10" s="9" t="s">
        <v>75</v>
      </c>
      <c r="K10" s="6" t="s">
        <v>76</v>
      </c>
      <c r="L10" s="5" t="s">
        <v>77</v>
      </c>
    </row>
    <row r="11" spans="1:12" x14ac:dyDescent="0.25">
      <c r="A11" s="4">
        <v>45891</v>
      </c>
      <c r="B11" s="5" t="s">
        <v>78</v>
      </c>
      <c r="C11" s="6" t="s">
        <v>33</v>
      </c>
      <c r="D11" s="6" t="s">
        <v>15</v>
      </c>
      <c r="E11" s="7" t="s">
        <v>79</v>
      </c>
      <c r="F11" s="7" t="s">
        <v>80</v>
      </c>
      <c r="G11" s="8">
        <f t="shared" si="0"/>
        <v>2.0833333333333259E-2</v>
      </c>
      <c r="H11" s="9" t="s">
        <v>81</v>
      </c>
      <c r="I11" s="9" t="s">
        <v>37</v>
      </c>
      <c r="J11" s="9" t="s">
        <v>82</v>
      </c>
      <c r="K11" s="6" t="s">
        <v>83</v>
      </c>
      <c r="L11" s="5" t="s">
        <v>84</v>
      </c>
    </row>
    <row r="12" spans="1:12" ht="30" x14ac:dyDescent="0.25">
      <c r="A12" s="4">
        <v>45892</v>
      </c>
      <c r="B12" s="5" t="s">
        <v>85</v>
      </c>
      <c r="C12" s="6" t="s">
        <v>14</v>
      </c>
      <c r="D12" s="6" t="s">
        <v>51</v>
      </c>
      <c r="E12" s="7" t="s">
        <v>86</v>
      </c>
      <c r="F12" s="7" t="s">
        <v>87</v>
      </c>
      <c r="G12" s="8">
        <f t="shared" si="0"/>
        <v>4.8611111111111105E-2</v>
      </c>
      <c r="H12" s="9" t="s">
        <v>18</v>
      </c>
      <c r="I12" s="9" t="s">
        <v>19</v>
      </c>
      <c r="J12" s="9" t="s">
        <v>38</v>
      </c>
      <c r="K12" s="6" t="s">
        <v>88</v>
      </c>
      <c r="L12" s="5" t="s">
        <v>89</v>
      </c>
    </row>
    <row r="13" spans="1:12" ht="30" x14ac:dyDescent="0.25">
      <c r="A13" s="4">
        <v>45893</v>
      </c>
      <c r="B13" s="5" t="s">
        <v>90</v>
      </c>
      <c r="C13" s="6" t="s">
        <v>58</v>
      </c>
      <c r="D13" s="6" t="s">
        <v>34</v>
      </c>
      <c r="E13" s="7" t="s">
        <v>91</v>
      </c>
      <c r="F13" s="7" t="s">
        <v>92</v>
      </c>
      <c r="G13" s="8">
        <f t="shared" si="0"/>
        <v>0.11458333333333337</v>
      </c>
      <c r="H13" s="9" t="s">
        <v>18</v>
      </c>
      <c r="I13" s="9" t="s">
        <v>19</v>
      </c>
      <c r="J13" s="9" t="s">
        <v>20</v>
      </c>
      <c r="K13" s="6" t="s">
        <v>93</v>
      </c>
      <c r="L13" s="5" t="s">
        <v>94</v>
      </c>
    </row>
    <row r="14" spans="1:12" ht="30" x14ac:dyDescent="0.25">
      <c r="A14" s="4">
        <v>45894</v>
      </c>
      <c r="B14" s="5" t="s">
        <v>95</v>
      </c>
      <c r="C14" s="6" t="s">
        <v>42</v>
      </c>
      <c r="D14" s="6" t="s">
        <v>43</v>
      </c>
      <c r="E14" s="7" t="s">
        <v>26</v>
      </c>
      <c r="F14" s="10"/>
      <c r="G14" s="8" t="str">
        <f t="shared" si="0"/>
        <v/>
      </c>
      <c r="H14" s="9" t="s">
        <v>96</v>
      </c>
      <c r="I14" s="9" t="s">
        <v>19</v>
      </c>
      <c r="J14" s="9" t="s">
        <v>46</v>
      </c>
      <c r="K14" s="6" t="s">
        <v>97</v>
      </c>
      <c r="L14" s="5" t="s">
        <v>98</v>
      </c>
    </row>
    <row r="15" spans="1:12" ht="30" x14ac:dyDescent="0.25">
      <c r="A15" s="4">
        <v>45895</v>
      </c>
      <c r="B15" s="5" t="s">
        <v>99</v>
      </c>
      <c r="C15" s="6" t="s">
        <v>24</v>
      </c>
      <c r="D15" s="6" t="s">
        <v>25</v>
      </c>
      <c r="E15" s="7" t="s">
        <v>100</v>
      </c>
      <c r="F15" s="10"/>
      <c r="G15" s="8" t="str">
        <f t="shared" si="0"/>
        <v/>
      </c>
      <c r="H15" s="9" t="s">
        <v>96</v>
      </c>
      <c r="I15" s="9" t="s">
        <v>28</v>
      </c>
      <c r="J15" s="9" t="s">
        <v>29</v>
      </c>
      <c r="K15" s="6" t="s">
        <v>101</v>
      </c>
      <c r="L15" s="5" t="s">
        <v>102</v>
      </c>
    </row>
    <row r="16" spans="1:12" ht="30" x14ac:dyDescent="0.25">
      <c r="A16" s="4">
        <v>45879</v>
      </c>
      <c r="B16" s="5" t="s">
        <v>103</v>
      </c>
      <c r="C16" s="6" t="s">
        <v>33</v>
      </c>
      <c r="D16" s="6" t="s">
        <v>59</v>
      </c>
      <c r="E16" s="7" t="s">
        <v>104</v>
      </c>
      <c r="F16" s="7" t="s">
        <v>105</v>
      </c>
      <c r="G16" s="8">
        <f t="shared" si="0"/>
        <v>3.8194444444444448E-2</v>
      </c>
      <c r="H16" s="9" t="s">
        <v>18</v>
      </c>
      <c r="I16" s="9" t="s">
        <v>37</v>
      </c>
      <c r="J16" s="9" t="s">
        <v>62</v>
      </c>
      <c r="K16" s="6" t="s">
        <v>106</v>
      </c>
      <c r="L16" s="5" t="s">
        <v>107</v>
      </c>
    </row>
    <row r="17" spans="1:12" x14ac:dyDescent="0.25">
      <c r="A17" s="4">
        <v>45874</v>
      </c>
      <c r="B17" s="5" t="s">
        <v>108</v>
      </c>
      <c r="C17" s="6" t="s">
        <v>50</v>
      </c>
      <c r="D17" s="6" t="s">
        <v>66</v>
      </c>
      <c r="E17" s="7" t="s">
        <v>109</v>
      </c>
      <c r="F17" s="7" t="s">
        <v>44</v>
      </c>
      <c r="G17" s="8">
        <f t="shared" si="0"/>
        <v>6.25E-2</v>
      </c>
      <c r="H17" s="9" t="s">
        <v>18</v>
      </c>
      <c r="I17" s="9" t="s">
        <v>19</v>
      </c>
      <c r="J17" s="9" t="s">
        <v>110</v>
      </c>
      <c r="K17" s="6" t="s">
        <v>111</v>
      </c>
      <c r="L17" s="5" t="s">
        <v>112</v>
      </c>
    </row>
    <row r="18" spans="1:12" x14ac:dyDescent="0.25">
      <c r="A18" s="4">
        <v>45864</v>
      </c>
      <c r="B18" s="5" t="s">
        <v>113</v>
      </c>
      <c r="C18" s="6" t="s">
        <v>14</v>
      </c>
      <c r="D18" s="6" t="s">
        <v>15</v>
      </c>
      <c r="E18" s="7" t="s">
        <v>114</v>
      </c>
      <c r="F18" s="7" t="s">
        <v>115</v>
      </c>
      <c r="G18" s="8">
        <f t="shared" si="0"/>
        <v>0.19791666666666669</v>
      </c>
      <c r="H18" s="9" t="s">
        <v>18</v>
      </c>
      <c r="I18" s="9" t="s">
        <v>37</v>
      </c>
      <c r="J18" s="9" t="s">
        <v>69</v>
      </c>
      <c r="K18" s="6" t="s">
        <v>116</v>
      </c>
      <c r="L18" s="5" t="s">
        <v>117</v>
      </c>
    </row>
    <row r="19" spans="1:12" ht="30" x14ac:dyDescent="0.25">
      <c r="A19" s="4">
        <v>45889</v>
      </c>
      <c r="B19" s="5" t="s">
        <v>118</v>
      </c>
      <c r="C19" s="6" t="s">
        <v>58</v>
      </c>
      <c r="D19" s="6" t="s">
        <v>51</v>
      </c>
      <c r="E19" s="7" t="s">
        <v>119</v>
      </c>
      <c r="F19" s="7" t="s">
        <v>120</v>
      </c>
      <c r="G19" s="8">
        <f t="shared" si="0"/>
        <v>5.555555555555558E-2</v>
      </c>
      <c r="H19" s="9" t="s">
        <v>18</v>
      </c>
      <c r="I19" s="9" t="s">
        <v>19</v>
      </c>
      <c r="J19" s="9" t="s">
        <v>82</v>
      </c>
      <c r="K19" s="6" t="s">
        <v>121</v>
      </c>
      <c r="L19" s="5" t="s">
        <v>122</v>
      </c>
    </row>
    <row r="20" spans="1:12" x14ac:dyDescent="0.25">
      <c r="A20" s="4">
        <v>45892</v>
      </c>
      <c r="B20" s="5" t="s">
        <v>123</v>
      </c>
      <c r="C20" s="6" t="s">
        <v>33</v>
      </c>
      <c r="D20" s="6" t="s">
        <v>15</v>
      </c>
      <c r="E20" s="7" t="s">
        <v>124</v>
      </c>
      <c r="F20" s="7" t="s">
        <v>125</v>
      </c>
      <c r="G20" s="8">
        <f t="shared" si="0"/>
        <v>1.0416666666666685E-2</v>
      </c>
      <c r="H20" s="9" t="s">
        <v>18</v>
      </c>
      <c r="I20" s="9" t="s">
        <v>19</v>
      </c>
      <c r="J20" s="9" t="s">
        <v>75</v>
      </c>
      <c r="K20" s="6" t="s">
        <v>126</v>
      </c>
      <c r="L20" s="5" t="s">
        <v>127</v>
      </c>
    </row>
    <row r="21" spans="1:12" x14ac:dyDescent="0.25">
      <c r="A21" s="11"/>
      <c r="B21" s="12"/>
      <c r="C21" s="13"/>
      <c r="D21" s="13"/>
      <c r="E21" s="10"/>
      <c r="F21" s="10"/>
      <c r="G21" s="14" t="str">
        <f t="shared" si="0"/>
        <v/>
      </c>
      <c r="K21" s="13"/>
      <c r="L21" s="12"/>
    </row>
    <row r="22" spans="1:12" x14ac:dyDescent="0.25">
      <c r="A22" s="11"/>
      <c r="B22" s="12"/>
      <c r="C22" s="13"/>
      <c r="D22" s="13"/>
      <c r="E22" s="10"/>
      <c r="F22" s="10"/>
      <c r="G22" s="14" t="str">
        <f t="shared" si="0"/>
        <v/>
      </c>
      <c r="K22" s="13"/>
      <c r="L22" s="12"/>
    </row>
    <row r="23" spans="1:12" x14ac:dyDescent="0.25">
      <c r="A23" s="11"/>
      <c r="B23" s="12"/>
      <c r="C23" s="13"/>
      <c r="D23" s="13"/>
      <c r="E23" s="10"/>
      <c r="F23" s="10"/>
      <c r="G23" s="14" t="str">
        <f t="shared" si="0"/>
        <v/>
      </c>
      <c r="K23" s="13"/>
      <c r="L23" s="12"/>
    </row>
    <row r="24" spans="1:12" x14ac:dyDescent="0.25">
      <c r="A24" s="11"/>
      <c r="B24" s="12"/>
      <c r="C24" s="13"/>
      <c r="D24" s="13"/>
      <c r="E24" s="10"/>
      <c r="F24" s="10"/>
      <c r="G24" s="14" t="str">
        <f t="shared" si="0"/>
        <v/>
      </c>
      <c r="K24" s="13"/>
      <c r="L24" s="12"/>
    </row>
    <row r="25" spans="1:12" x14ac:dyDescent="0.25">
      <c r="A25" s="11"/>
      <c r="B25" s="12"/>
      <c r="C25" s="13"/>
      <c r="D25" s="13"/>
      <c r="E25" s="10"/>
      <c r="F25" s="10"/>
      <c r="G25" s="14" t="str">
        <f t="shared" si="0"/>
        <v/>
      </c>
      <c r="K25" s="13"/>
      <c r="L25" s="12"/>
    </row>
    <row r="26" spans="1:12" x14ac:dyDescent="0.25">
      <c r="A26" s="11"/>
      <c r="B26" s="12"/>
      <c r="C26" s="13"/>
      <c r="D26" s="13"/>
      <c r="E26" s="10"/>
      <c r="F26" s="10"/>
      <c r="G26" s="14" t="str">
        <f t="shared" si="0"/>
        <v/>
      </c>
      <c r="K26" s="13"/>
      <c r="L26" s="12"/>
    </row>
    <row r="27" spans="1:12" x14ac:dyDescent="0.25">
      <c r="A27" s="11"/>
      <c r="B27" s="12"/>
      <c r="C27" s="13"/>
      <c r="D27" s="13"/>
      <c r="E27" s="10"/>
      <c r="F27" s="10"/>
      <c r="G27" s="14" t="str">
        <f t="shared" si="0"/>
        <v/>
      </c>
      <c r="K27" s="13"/>
      <c r="L27" s="12"/>
    </row>
    <row r="28" spans="1:12" x14ac:dyDescent="0.25">
      <c r="A28" s="11"/>
      <c r="B28" s="12"/>
      <c r="C28" s="13"/>
      <c r="D28" s="13"/>
      <c r="E28" s="10"/>
      <c r="F28" s="10"/>
      <c r="G28" s="14" t="str">
        <f t="shared" si="0"/>
        <v/>
      </c>
      <c r="K28" s="13"/>
      <c r="L28" s="12"/>
    </row>
    <row r="29" spans="1:12" x14ac:dyDescent="0.25">
      <c r="A29" s="11"/>
      <c r="B29" s="12"/>
      <c r="C29" s="13"/>
      <c r="D29" s="13"/>
      <c r="E29" s="10"/>
      <c r="F29" s="10"/>
      <c r="G29" s="14" t="str">
        <f t="shared" si="0"/>
        <v/>
      </c>
      <c r="K29" s="13"/>
      <c r="L29" s="12"/>
    </row>
    <row r="30" spans="1:12" x14ac:dyDescent="0.25">
      <c r="A30" s="11"/>
      <c r="B30" s="12"/>
      <c r="C30" s="13"/>
      <c r="D30" s="13"/>
      <c r="E30" s="10"/>
      <c r="F30" s="10"/>
      <c r="G30" s="14" t="str">
        <f t="shared" si="0"/>
        <v/>
      </c>
      <c r="K30" s="13"/>
      <c r="L30" s="12"/>
    </row>
    <row r="31" spans="1:12" x14ac:dyDescent="0.25">
      <c r="A31" s="11"/>
      <c r="B31" s="12"/>
      <c r="C31" s="13"/>
      <c r="D31" s="13"/>
      <c r="E31" s="10"/>
      <c r="F31" s="10"/>
      <c r="G31" s="14" t="str">
        <f t="shared" si="0"/>
        <v/>
      </c>
      <c r="K31" s="13"/>
      <c r="L31" s="12"/>
    </row>
    <row r="32" spans="1:12" x14ac:dyDescent="0.25">
      <c r="A32" s="11"/>
      <c r="B32" s="12"/>
      <c r="C32" s="13"/>
      <c r="D32" s="13"/>
      <c r="E32" s="10"/>
      <c r="F32" s="10"/>
      <c r="G32" s="14" t="str">
        <f t="shared" si="0"/>
        <v/>
      </c>
      <c r="K32" s="13"/>
      <c r="L32" s="12"/>
    </row>
    <row r="33" spans="1:12" x14ac:dyDescent="0.25">
      <c r="A33" s="11"/>
      <c r="B33" s="12"/>
      <c r="C33" s="13"/>
      <c r="D33" s="13"/>
      <c r="E33" s="10"/>
      <c r="F33" s="10"/>
      <c r="G33" s="14" t="str">
        <f t="shared" si="0"/>
        <v/>
      </c>
      <c r="K33" s="13"/>
      <c r="L33" s="12"/>
    </row>
    <row r="34" spans="1:12" x14ac:dyDescent="0.25">
      <c r="A34" s="11"/>
      <c r="B34" s="12"/>
      <c r="C34" s="13"/>
      <c r="D34" s="13"/>
      <c r="E34" s="10"/>
      <c r="F34" s="10"/>
      <c r="G34" s="14" t="str">
        <f t="shared" si="0"/>
        <v/>
      </c>
      <c r="K34" s="13"/>
      <c r="L34" s="12"/>
    </row>
    <row r="35" spans="1:12" x14ac:dyDescent="0.25">
      <c r="A35" s="11"/>
      <c r="B35" s="12"/>
      <c r="C35" s="13"/>
      <c r="D35" s="13"/>
      <c r="E35" s="10"/>
      <c r="F35" s="10"/>
      <c r="G35" s="14" t="str">
        <f t="shared" si="0"/>
        <v/>
      </c>
      <c r="K35" s="13"/>
      <c r="L35" s="12"/>
    </row>
    <row r="36" spans="1:12" x14ac:dyDescent="0.25">
      <c r="A36" s="11"/>
      <c r="B36" s="12"/>
      <c r="C36" s="13"/>
      <c r="D36" s="13"/>
      <c r="E36" s="10"/>
      <c r="F36" s="10"/>
      <c r="G36" s="14" t="str">
        <f t="shared" si="0"/>
        <v/>
      </c>
      <c r="K36" s="13"/>
      <c r="L36" s="12"/>
    </row>
    <row r="37" spans="1:12" x14ac:dyDescent="0.25">
      <c r="A37" s="11"/>
      <c r="B37" s="12"/>
      <c r="C37" s="13"/>
      <c r="D37" s="13"/>
      <c r="E37" s="10"/>
      <c r="F37" s="10"/>
      <c r="G37" s="14" t="str">
        <f t="shared" si="0"/>
        <v/>
      </c>
      <c r="K37" s="13"/>
      <c r="L37" s="12"/>
    </row>
    <row r="38" spans="1:12" x14ac:dyDescent="0.25">
      <c r="A38" s="11"/>
      <c r="B38" s="12"/>
      <c r="C38" s="13"/>
      <c r="D38" s="13"/>
      <c r="E38" s="10"/>
      <c r="F38" s="10"/>
      <c r="G38" s="14" t="str">
        <f t="shared" si="0"/>
        <v/>
      </c>
      <c r="K38" s="13"/>
      <c r="L38" s="12"/>
    </row>
    <row r="39" spans="1:12" x14ac:dyDescent="0.25">
      <c r="A39" s="11"/>
      <c r="B39" s="12"/>
      <c r="C39" s="13"/>
      <c r="D39" s="13"/>
      <c r="E39" s="10"/>
      <c r="F39" s="10"/>
      <c r="G39" s="14" t="str">
        <f t="shared" si="0"/>
        <v/>
      </c>
      <c r="K39" s="13"/>
      <c r="L39" s="12"/>
    </row>
    <row r="40" spans="1:12" x14ac:dyDescent="0.25">
      <c r="A40" s="11"/>
      <c r="B40" s="12"/>
      <c r="C40" s="13"/>
      <c r="D40" s="13"/>
      <c r="E40" s="10"/>
      <c r="F40" s="10"/>
      <c r="G40" s="14" t="str">
        <f t="shared" si="0"/>
        <v/>
      </c>
      <c r="K40" s="13"/>
      <c r="L40" s="12"/>
    </row>
    <row r="41" spans="1:12" x14ac:dyDescent="0.25">
      <c r="A41" s="11"/>
      <c r="B41" s="12"/>
      <c r="C41" s="13"/>
      <c r="D41" s="13"/>
      <c r="E41" s="10"/>
      <c r="F41" s="10"/>
      <c r="G41" s="14" t="str">
        <f t="shared" si="0"/>
        <v/>
      </c>
      <c r="K41" s="13"/>
      <c r="L41" s="12"/>
    </row>
    <row r="42" spans="1:12" x14ac:dyDescent="0.25">
      <c r="A42" s="11"/>
      <c r="B42" s="12"/>
      <c r="C42" s="13"/>
      <c r="D42" s="13"/>
      <c r="E42" s="10"/>
      <c r="F42" s="10"/>
      <c r="G42" s="14" t="str">
        <f t="shared" si="0"/>
        <v/>
      </c>
      <c r="K42" s="13"/>
      <c r="L42" s="12"/>
    </row>
    <row r="43" spans="1:12" x14ac:dyDescent="0.25">
      <c r="A43" s="11"/>
      <c r="B43" s="12"/>
      <c r="C43" s="13"/>
      <c r="D43" s="13"/>
      <c r="E43" s="10"/>
      <c r="F43" s="10"/>
      <c r="G43" s="14" t="str">
        <f t="shared" si="0"/>
        <v/>
      </c>
      <c r="K43" s="13"/>
      <c r="L43" s="12"/>
    </row>
    <row r="44" spans="1:12" x14ac:dyDescent="0.25">
      <c r="A44" s="11"/>
      <c r="B44" s="12"/>
      <c r="C44" s="13"/>
      <c r="D44" s="13"/>
      <c r="E44" s="10"/>
      <c r="F44" s="10"/>
      <c r="G44" s="14" t="str">
        <f t="shared" si="0"/>
        <v/>
      </c>
      <c r="K44" s="13"/>
      <c r="L44" s="12"/>
    </row>
    <row r="45" spans="1:12" x14ac:dyDescent="0.25">
      <c r="A45" s="11"/>
      <c r="B45" s="12"/>
      <c r="C45" s="13"/>
      <c r="D45" s="13"/>
      <c r="E45" s="10"/>
      <c r="F45" s="10"/>
      <c r="G45" s="14" t="str">
        <f t="shared" si="0"/>
        <v/>
      </c>
      <c r="K45" s="13"/>
      <c r="L45" s="12"/>
    </row>
    <row r="46" spans="1:12" x14ac:dyDescent="0.25">
      <c r="A46" s="11"/>
      <c r="B46" s="12"/>
      <c r="C46" s="13"/>
      <c r="D46" s="13"/>
      <c r="E46" s="10"/>
      <c r="F46" s="10"/>
      <c r="G46" s="14" t="str">
        <f t="shared" si="0"/>
        <v/>
      </c>
      <c r="K46" s="13"/>
      <c r="L46" s="12"/>
    </row>
    <row r="47" spans="1:12" x14ac:dyDescent="0.25">
      <c r="A47" s="11"/>
      <c r="B47" s="12"/>
      <c r="C47" s="13"/>
      <c r="D47" s="13"/>
      <c r="E47" s="10"/>
      <c r="F47" s="10"/>
      <c r="G47" s="14" t="str">
        <f t="shared" si="0"/>
        <v/>
      </c>
      <c r="K47" s="13"/>
      <c r="L47" s="12"/>
    </row>
    <row r="48" spans="1:12" x14ac:dyDescent="0.25">
      <c r="A48" s="11"/>
      <c r="B48" s="12"/>
      <c r="C48" s="13"/>
      <c r="D48" s="13"/>
      <c r="E48" s="10"/>
      <c r="F48" s="10"/>
      <c r="G48" s="14" t="str">
        <f t="shared" si="0"/>
        <v/>
      </c>
      <c r="K48" s="13"/>
      <c r="L48" s="12"/>
    </row>
    <row r="49" spans="1:12" x14ac:dyDescent="0.25">
      <c r="A49" s="11"/>
      <c r="B49" s="12"/>
      <c r="C49" s="13"/>
      <c r="D49" s="13"/>
      <c r="E49" s="10"/>
      <c r="F49" s="10"/>
      <c r="G49" s="14" t="str">
        <f t="shared" si="0"/>
        <v/>
      </c>
      <c r="K49" s="13"/>
      <c r="L49" s="12"/>
    </row>
    <row r="50" spans="1:12" x14ac:dyDescent="0.25">
      <c r="A50" s="11"/>
      <c r="B50" s="12"/>
      <c r="C50" s="13"/>
      <c r="D50" s="13"/>
      <c r="E50" s="10"/>
      <c r="F50" s="10"/>
      <c r="G50" s="14" t="str">
        <f t="shared" si="0"/>
        <v/>
      </c>
      <c r="K50" s="13"/>
      <c r="L50" s="12"/>
    </row>
  </sheetData>
  <sheetProtection sheet="1"/>
  <mergeCells count="1">
    <mergeCell ref="A1:K1"/>
  </mergeCells>
  <conditionalFormatting sqref="A3:L50">
    <cfRule type="expression" dxfId="2" priority="1">
      <formula>AND($H3="Offen",$A3&lt;TODAY())</formula>
    </cfRule>
  </conditionalFormatting>
  <conditionalFormatting sqref="E3:F50">
    <cfRule type="expression" dxfId="1" priority="3">
      <formula>AND($E3&lt;&gt;"",$F3&lt;&gt;"",$F3&lt;$E3)</formula>
    </cfRule>
  </conditionalFormatting>
  <conditionalFormatting sqref="I3:I50">
    <cfRule type="expression" dxfId="0" priority="2">
      <formula>$I3="Hoch"</formula>
    </cfRule>
  </conditionalFormatting>
  <dataValidations count="5">
    <dataValidation type="list" allowBlank="1" showDropDown="1" showInputMessage="1" showErrorMessage="1" sqref="C3:C502" xr:uid="{00000000-0002-0000-0000-000000000000}">
      <formula1>rngTyp</formula1>
    </dataValidation>
    <dataValidation type="list" allowBlank="1" showDropDown="1" showInputMessage="1" showErrorMessage="1" sqref="D3:D502" xr:uid="{00000000-0002-0000-0000-000001000000}">
      <formula1>rngVerantwortlich</formula1>
    </dataValidation>
    <dataValidation type="list" allowBlank="1" showDropDown="1" showInputMessage="1" showErrorMessage="1" sqref="H3:H502" xr:uid="{00000000-0002-0000-0000-000002000000}">
      <formula1>rngStatus</formula1>
    </dataValidation>
    <dataValidation type="list" allowBlank="1" showDropDown="1" showInputMessage="1" showErrorMessage="1" sqref="I3:I502" xr:uid="{00000000-0002-0000-0000-000003000000}">
      <formula1>rngPriorität</formula1>
    </dataValidation>
    <dataValidation type="list" allowBlank="1" showDropDown="1" showInputMessage="1" showErrorMessage="1" sqref="J3:J502" xr:uid="{00000000-0002-0000-0000-000004000000}">
      <formula1>rngAnlage</formula1>
    </dataValidation>
  </dataValidations>
  <pageMargins left="0.3" right="0.3" top="0.3" bottom="0.3" header="0.5" footer="0.5"/>
  <pageSetup orientation="landscape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18" customWidth="1"/>
    <col min="3" max="3" width="20" customWidth="1"/>
    <col min="5" max="5" width="18" customWidth="1"/>
    <col min="7" max="7" width="14" customWidth="1"/>
    <col min="9" max="9" width="24" customWidth="1"/>
  </cols>
  <sheetData>
    <row r="1" spans="1:9" x14ac:dyDescent="0.25">
      <c r="A1" s="2" t="s">
        <v>3</v>
      </c>
      <c r="B1" s="2"/>
      <c r="C1" s="2" t="s">
        <v>4</v>
      </c>
      <c r="D1" s="2"/>
      <c r="E1" s="2" t="s">
        <v>8</v>
      </c>
      <c r="F1" s="2"/>
      <c r="G1" s="2" t="s">
        <v>9</v>
      </c>
      <c r="H1" s="2"/>
      <c r="I1" s="2" t="s">
        <v>10</v>
      </c>
    </row>
    <row r="2" spans="1:9" x14ac:dyDescent="0.25">
      <c r="A2" s="9" t="s">
        <v>14</v>
      </c>
      <c r="C2" s="9" t="s">
        <v>15</v>
      </c>
      <c r="E2" s="9" t="s">
        <v>96</v>
      </c>
      <c r="G2" s="9" t="s">
        <v>28</v>
      </c>
      <c r="I2" s="9" t="s">
        <v>20</v>
      </c>
    </row>
    <row r="3" spans="1:9" x14ac:dyDescent="0.25">
      <c r="A3" s="9" t="s">
        <v>24</v>
      </c>
      <c r="C3" s="9" t="s">
        <v>25</v>
      </c>
      <c r="E3" s="9" t="s">
        <v>81</v>
      </c>
      <c r="G3" s="9" t="s">
        <v>19</v>
      </c>
      <c r="I3" s="9" t="s">
        <v>62</v>
      </c>
    </row>
    <row r="4" spans="1:9" x14ac:dyDescent="0.25">
      <c r="A4" s="9" t="s">
        <v>33</v>
      </c>
      <c r="C4" s="9" t="s">
        <v>34</v>
      </c>
      <c r="E4" s="9" t="s">
        <v>18</v>
      </c>
      <c r="G4" s="9" t="s">
        <v>37</v>
      </c>
      <c r="I4" s="9" t="s">
        <v>82</v>
      </c>
    </row>
    <row r="5" spans="1:9" x14ac:dyDescent="0.25">
      <c r="A5" s="9" t="s">
        <v>58</v>
      </c>
      <c r="C5" s="9" t="s">
        <v>51</v>
      </c>
      <c r="I5" s="9" t="s">
        <v>38</v>
      </c>
    </row>
    <row r="6" spans="1:9" x14ac:dyDescent="0.25">
      <c r="A6" s="9" t="s">
        <v>42</v>
      </c>
      <c r="C6" s="9" t="s">
        <v>43</v>
      </c>
      <c r="I6" s="9" t="s">
        <v>29</v>
      </c>
    </row>
    <row r="7" spans="1:9" x14ac:dyDescent="0.25">
      <c r="A7" s="9" t="s">
        <v>50</v>
      </c>
      <c r="C7" s="9" t="s">
        <v>59</v>
      </c>
      <c r="I7" s="9" t="s">
        <v>75</v>
      </c>
    </row>
    <row r="8" spans="1:9" x14ac:dyDescent="0.25">
      <c r="A8" s="9" t="s">
        <v>128</v>
      </c>
      <c r="C8" s="9" t="s">
        <v>66</v>
      </c>
      <c r="I8" s="9" t="s">
        <v>46</v>
      </c>
    </row>
    <row r="9" spans="1:9" x14ac:dyDescent="0.25">
      <c r="I9" s="9" t="s">
        <v>69</v>
      </c>
    </row>
    <row r="10" spans="1:9" x14ac:dyDescent="0.25">
      <c r="I10" s="9" t="s">
        <v>54</v>
      </c>
    </row>
    <row r="11" spans="1:9" x14ac:dyDescent="0.25">
      <c r="I11" s="9" t="s">
        <v>110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6"/>
  <sheetViews>
    <sheetView workbookViewId="0">
      <selection activeCell="H9" sqref="H9"/>
    </sheetView>
  </sheetViews>
  <sheetFormatPr baseColWidth="10" defaultColWidth="9.140625" defaultRowHeight="15" x14ac:dyDescent="0.25"/>
  <cols>
    <col min="1" max="1" width="17.85546875" bestFit="1" customWidth="1"/>
    <col min="2" max="2" width="9.42578125" bestFit="1" customWidth="1"/>
    <col min="3" max="3" width="14" bestFit="1" customWidth="1"/>
    <col min="4" max="4" width="14.140625" bestFit="1" customWidth="1"/>
    <col min="5" max="5" width="17.28515625" bestFit="1" customWidth="1"/>
    <col min="6" max="6" width="2" bestFit="1" customWidth="1"/>
    <col min="7" max="7" width="14.140625" bestFit="1" customWidth="1"/>
    <col min="8" max="8" width="10.140625" bestFit="1" customWidth="1"/>
    <col min="9" max="9" width="12" customWidth="1"/>
    <col min="10" max="10" width="10.140625" bestFit="1" customWidth="1"/>
  </cols>
  <sheetData>
    <row r="1" spans="1:10" ht="18.75" x14ac:dyDescent="0.3">
      <c r="A1" s="21" t="s">
        <v>129</v>
      </c>
      <c r="B1" s="20"/>
      <c r="C1" s="20"/>
      <c r="D1" s="20"/>
      <c r="E1" s="20"/>
      <c r="F1" s="20"/>
      <c r="G1" s="20"/>
      <c r="H1" s="20"/>
      <c r="I1" s="20"/>
      <c r="J1" s="1">
        <f ca="1">TODAY()</f>
        <v>45894</v>
      </c>
    </row>
    <row r="2" spans="1:10" x14ac:dyDescent="0.25">
      <c r="G2" s="9" t="s">
        <v>130</v>
      </c>
      <c r="H2" s="15">
        <f ca="1">DATE(YEAR(TODAY()),MONTH(TODAY()),1)</f>
        <v>45870</v>
      </c>
    </row>
    <row r="3" spans="1:10" ht="30" x14ac:dyDescent="0.25">
      <c r="A3" s="2" t="s">
        <v>131</v>
      </c>
      <c r="B3" s="2" t="s">
        <v>96</v>
      </c>
      <c r="C3" s="2" t="s">
        <v>81</v>
      </c>
      <c r="D3" s="2" t="s">
        <v>18</v>
      </c>
      <c r="E3" s="2" t="s">
        <v>132</v>
      </c>
      <c r="G3" s="9" t="s">
        <v>133</v>
      </c>
      <c r="H3" s="15">
        <f ca="1">EOMONTH(H2,0)</f>
        <v>45900</v>
      </c>
    </row>
    <row r="4" spans="1:10" x14ac:dyDescent="0.25">
      <c r="A4" s="16">
        <f>COUNTA(tblLog[Datum])</f>
        <v>18</v>
      </c>
      <c r="B4" s="16">
        <f>COUNTIF(tblLog[Status],"Offen")</f>
        <v>2</v>
      </c>
      <c r="C4" s="16">
        <f>COUNTIF(tblLog[Status],"In Bearbeitung")</f>
        <v>1</v>
      </c>
      <c r="D4" s="16">
        <f>COUNTIF(tblLog[Status],"Geschlossen")</f>
        <v>15</v>
      </c>
      <c r="E4" s="17">
        <f ca="1">SUMIFS(tblLog[[#All],[Dauer (Std)]],tblLog[[#All],[Datum]],"&gt;="&amp;H2,tblLog[[#All],[Datum]],"&lt;="&amp;H3)</f>
        <v>0.8125</v>
      </c>
    </row>
    <row r="7" spans="1:10" ht="30" x14ac:dyDescent="0.25">
      <c r="A7" s="2" t="s">
        <v>134</v>
      </c>
      <c r="B7" s="18"/>
      <c r="D7" s="2" t="s">
        <v>135</v>
      </c>
      <c r="E7" s="18"/>
      <c r="G7" s="2" t="s">
        <v>136</v>
      </c>
      <c r="H7" s="18"/>
    </row>
    <row r="8" spans="1:10" x14ac:dyDescent="0.25">
      <c r="A8" s="2" t="s">
        <v>3</v>
      </c>
      <c r="B8" s="2" t="s">
        <v>137</v>
      </c>
      <c r="D8" s="2" t="s">
        <v>8</v>
      </c>
      <c r="E8" s="2" t="s">
        <v>137</v>
      </c>
      <c r="G8" s="2" t="s">
        <v>3</v>
      </c>
      <c r="H8" s="2" t="s">
        <v>138</v>
      </c>
    </row>
    <row r="9" spans="1:10" x14ac:dyDescent="0.25">
      <c r="A9" s="9" t="s">
        <v>14</v>
      </c>
      <c r="B9" s="9">
        <f>COUNTIF(tblLog[Typ],"Wartung")</f>
        <v>3</v>
      </c>
      <c r="D9" s="9" t="s">
        <v>96</v>
      </c>
      <c r="E9" s="9">
        <f>COUNTIF(tblLog[Status],"Offen")</f>
        <v>2</v>
      </c>
      <c r="G9" s="9" t="s">
        <v>14</v>
      </c>
      <c r="H9" s="8" t="e">
        <f>SUMIFS(tblLog[[#All],[Dauer (Std)]],tblLog[Typ],"Wartung")</f>
        <v>#VALUE!</v>
      </c>
    </row>
    <row r="10" spans="1:10" x14ac:dyDescent="0.25">
      <c r="A10" s="9" t="s">
        <v>24</v>
      </c>
      <c r="B10" s="9">
        <f>COUNTIF(tblLog[Typ],"Lieferung")</f>
        <v>3</v>
      </c>
      <c r="D10" s="9" t="s">
        <v>81</v>
      </c>
      <c r="E10" s="9">
        <f>COUNTIF(tblLog[Status],"In Bearbeitung")</f>
        <v>1</v>
      </c>
      <c r="G10" s="9" t="s">
        <v>24</v>
      </c>
      <c r="H10" s="8" t="e">
        <f>SUMIFS(tblLog[[#All],[Dauer (Std)]],tblLog[Typ],"Lieferung")</f>
        <v>#VALUE!</v>
      </c>
    </row>
    <row r="11" spans="1:10" x14ac:dyDescent="0.25">
      <c r="A11" s="9" t="s">
        <v>33</v>
      </c>
      <c r="B11" s="9">
        <f>COUNTIF(tblLog[Typ],"Störung")</f>
        <v>5</v>
      </c>
      <c r="D11" s="9" t="s">
        <v>18</v>
      </c>
      <c r="E11" s="9">
        <f>COUNTIF(tblLog[Status],"Geschlossen")</f>
        <v>15</v>
      </c>
      <c r="G11" s="9" t="s">
        <v>33</v>
      </c>
      <c r="H11" s="8" t="e">
        <f>SUMIFS(tblLog[[#All],[Dauer (Std)]],tblLog[Typ],"Störung")</f>
        <v>#VALUE!</v>
      </c>
    </row>
    <row r="12" spans="1:10" x14ac:dyDescent="0.25">
      <c r="A12" s="9" t="s">
        <v>58</v>
      </c>
      <c r="B12" s="9">
        <f>COUNTIF(tblLog[Typ],"Produktion")</f>
        <v>3</v>
      </c>
      <c r="E12" s="2" t="s">
        <v>139</v>
      </c>
      <c r="F12" s="18"/>
      <c r="G12" s="9" t="s">
        <v>58</v>
      </c>
      <c r="H12" s="8" t="e">
        <f>SUMIFS(tblLog[[#All],[Dauer (Std)]],tblLog[Typ],"Produktion")</f>
        <v>#VALUE!</v>
      </c>
    </row>
    <row r="13" spans="1:10" x14ac:dyDescent="0.25">
      <c r="A13" s="9" t="s">
        <v>42</v>
      </c>
      <c r="B13" s="9">
        <f>COUNTIF(tblLog[Typ],"Kontrolle")</f>
        <v>2</v>
      </c>
      <c r="E13" s="2" t="s">
        <v>137</v>
      </c>
      <c r="F13" s="2">
        <f ca="1">COUNTIFS(tblLog[Status],"Offen",tblLog[Datum],"&lt;"&amp;TODAY())</f>
        <v>0</v>
      </c>
      <c r="G13" s="9" t="s">
        <v>42</v>
      </c>
      <c r="H13" s="8" t="e">
        <f>SUMIFS(tblLog[[#All],[Dauer (Std)]],tblLog[Typ],"Kontrolle")</f>
        <v>#VALUE!</v>
      </c>
    </row>
    <row r="14" spans="1:10" x14ac:dyDescent="0.25">
      <c r="A14" s="9" t="s">
        <v>50</v>
      </c>
      <c r="B14" s="9">
        <f>COUNTIF(tblLog[Typ],"Schulung")</f>
        <v>2</v>
      </c>
      <c r="G14" s="9" t="s">
        <v>50</v>
      </c>
      <c r="H14" s="8" t="e">
        <f>SUMIFS(tblLog[[#All],[Dauer (Std)]],tblLog[Typ],"Schulung")</f>
        <v>#VALUE!</v>
      </c>
    </row>
    <row r="15" spans="1:10" x14ac:dyDescent="0.25">
      <c r="A15" s="9" t="s">
        <v>128</v>
      </c>
      <c r="B15" s="9">
        <f>COUNTIF(tblLog[Typ],"Sonstiges")</f>
        <v>0</v>
      </c>
      <c r="G15" s="9" t="s">
        <v>128</v>
      </c>
      <c r="H15" s="8" t="e">
        <f>SUMIFS(tblLog[[#All],[Dauer (Std)]],tblLog[Typ],"Sonstiges")</f>
        <v>#VALUE!</v>
      </c>
    </row>
    <row r="18" spans="1:3" ht="30" x14ac:dyDescent="0.25">
      <c r="A18" s="2" t="s">
        <v>140</v>
      </c>
      <c r="B18" s="18"/>
      <c r="C18" s="18"/>
    </row>
    <row r="19" spans="1:3" x14ac:dyDescent="0.25">
      <c r="A19" s="2" t="s">
        <v>4</v>
      </c>
      <c r="B19" s="2" t="s">
        <v>138</v>
      </c>
      <c r="C19" s="2" t="s">
        <v>141</v>
      </c>
    </row>
    <row r="20" spans="1:3" x14ac:dyDescent="0.25">
      <c r="A20" s="9" t="s">
        <v>15</v>
      </c>
      <c r="B20" s="8" t="e">
        <f>SUMIFS(tblLog[[#All],[Dauer (Std)]],tblLog[Verantwortlich],"Anna Müller")</f>
        <v>#VALUE!</v>
      </c>
      <c r="C20" s="9">
        <f>COUNTIF(tblLog[Verantwortlich],"Anna Müller")</f>
        <v>4</v>
      </c>
    </row>
    <row r="21" spans="1:3" x14ac:dyDescent="0.25">
      <c r="A21" s="9" t="s">
        <v>25</v>
      </c>
      <c r="B21" s="8" t="e">
        <f>SUMIFS(tblLog[[#All],[Dauer (Std)]],tblLog[Verantwortlich],"Ben Schneider")</f>
        <v>#VALUE!</v>
      </c>
      <c r="C21" s="9">
        <f>COUNTIF(tblLog[Verantwortlich],"Ben Schneider")</f>
        <v>3</v>
      </c>
    </row>
    <row r="22" spans="1:3" x14ac:dyDescent="0.25">
      <c r="A22" s="9" t="s">
        <v>34</v>
      </c>
      <c r="B22" s="8" t="e">
        <f>SUMIFS(tblLog[[#All],[Dauer (Std)]],tblLog[Verantwortlich],"Clara Vogel")</f>
        <v>#VALUE!</v>
      </c>
      <c r="C22" s="9">
        <f>COUNTIF(tblLog[Verantwortlich],"Clara Vogel")</f>
        <v>2</v>
      </c>
    </row>
    <row r="23" spans="1:3" x14ac:dyDescent="0.25">
      <c r="A23" s="9" t="s">
        <v>51</v>
      </c>
      <c r="B23" s="8" t="e">
        <f>SUMIFS(tblLog[[#All],[Dauer (Std)]],tblLog[Verantwortlich],"David Koch")</f>
        <v>#VALUE!</v>
      </c>
      <c r="C23" s="9">
        <f>COUNTIF(tblLog[Verantwortlich],"David Koch")</f>
        <v>3</v>
      </c>
    </row>
    <row r="24" spans="1:3" x14ac:dyDescent="0.25">
      <c r="A24" s="9" t="s">
        <v>43</v>
      </c>
      <c r="B24" s="8" t="e">
        <f>SUMIFS(tblLog[[#All],[Dauer (Std)]],tblLog[Verantwortlich],"Eva Wagner")</f>
        <v>#VALUE!</v>
      </c>
      <c r="C24" s="9">
        <f>COUNTIF(tblLog[Verantwortlich],"Eva Wagner")</f>
        <v>2</v>
      </c>
    </row>
    <row r="25" spans="1:3" x14ac:dyDescent="0.25">
      <c r="A25" s="9" t="s">
        <v>59</v>
      </c>
      <c r="B25" s="8" t="e">
        <f>SUMIFS(tblLog[[#All],[Dauer (Std)]],tblLog[Verantwortlich],"Felix Braun")</f>
        <v>#VALUE!</v>
      </c>
      <c r="C25" s="9">
        <f>COUNTIF(tblLog[Verantwortlich],"Felix Braun")</f>
        <v>2</v>
      </c>
    </row>
    <row r="26" spans="1:3" x14ac:dyDescent="0.25">
      <c r="A26" s="9" t="s">
        <v>66</v>
      </c>
      <c r="B26" s="8" t="e">
        <f>SUMIFS(tblLog[[#All],[Dauer (Std)]],tblLog[Verantwortlich],"Greta Hofmann")</f>
        <v>#VALUE!</v>
      </c>
      <c r="C26" s="9">
        <f>COUNTIF(tblLog[Verantwortlich],"Greta Hofmann")</f>
        <v>2</v>
      </c>
    </row>
  </sheetData>
  <mergeCells count="1">
    <mergeCell ref="A1:I1"/>
  </mergeCells>
  <pageMargins left="0.3" right="0.3" top="0.3" bottom="0.3" header="0.5" footer="0.5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Log</vt:lpstr>
      <vt:lpstr>Listen</vt:lpstr>
      <vt:lpstr>Übersicht</vt:lpstr>
      <vt:lpstr>rngAnlage</vt:lpstr>
      <vt:lpstr>rngPriorität</vt:lpstr>
      <vt:lpstr>rngStatus</vt:lpstr>
      <vt:lpstr>rngTyp</vt:lpstr>
      <vt:lpstr>rngVerantwortlich</vt:lpstr>
      <vt:lpstr>Log!Títulos_a_imprimir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2025-08-25T07:32:03Z</dcterms:created>
  <dcterms:modified xsi:type="dcterms:W3CDTF">2025-08-25T08:22:10Z</dcterms:modified>
</cp:coreProperties>
</file>